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lbar\Downloads\"/>
    </mc:Choice>
  </mc:AlternateContent>
  <workbookProtection workbookAlgorithmName="SHA-512" workbookHashValue="plh7fvcLCwL5OhvyRMKDImS5P3ciYDcjBWEMmcAEuHdB+4aXWAvXN7I2ckC0FtAirE40vJGTAFdzo+JeJ29NqA==" workbookSaltValue="dC+hdmO340H7nnyO5O1sDw==" workbookSpinCount="100000" lockStructure="1"/>
  <bookViews>
    <workbookView xWindow="28680" yWindow="-120" windowWidth="29040" windowHeight="158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X25" i="5"/>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R19" i="5"/>
  <c r="X19" i="5"/>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X23" i="5"/>
  <c r="AB26" i="5"/>
  <c r="G31" i="5"/>
  <c r="G34" i="5"/>
  <c r="E39" i="5"/>
  <c r="X39" i="5" s="1"/>
  <c r="I46" i="5"/>
  <c r="AB22"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E33" i="5"/>
  <c r="X33" i="5" s="1"/>
  <c r="I34" i="5"/>
  <c r="G39" i="5"/>
  <c r="E49" i="5"/>
  <c r="X49" i="5" s="1"/>
  <c r="I50" i="5"/>
  <c r="E65" i="5"/>
  <c r="X65" i="5" s="1"/>
  <c r="I66" i="5"/>
  <c r="E81" i="5"/>
  <c r="X81" i="5" s="1"/>
  <c r="I82"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AB20" i="5"/>
  <c r="R21"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114" i="5"/>
  <c r="F118" i="5"/>
  <c r="R118" i="5"/>
  <c r="J118" i="5"/>
  <c r="X5"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AB27" i="5"/>
  <c r="E29" i="5"/>
  <c r="X29" i="5" s="1"/>
  <c r="X24" i="5"/>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AB31"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468" i="5"/>
  <c r="T261" i="5"/>
  <c r="T202" i="5"/>
  <c r="T499" i="5"/>
  <c r="T428" i="5"/>
  <c r="T54" i="5"/>
  <c r="T86" i="5"/>
  <c r="T380" i="5"/>
  <c r="T456" i="5"/>
  <c r="T357" i="5"/>
  <c r="T311" i="5"/>
  <c r="T258" i="5"/>
  <c r="T352" i="5"/>
  <c r="T416" i="5"/>
  <c r="T432" i="5"/>
  <c r="T484" i="5"/>
  <c r="T266" i="5"/>
  <c r="T344" i="5"/>
  <c r="T146" i="5"/>
  <c r="T117" i="5"/>
  <c r="T404" i="5"/>
  <c r="T24" i="5"/>
  <c r="T23" i="5"/>
  <c r="T25" i="5"/>
  <c r="S25" i="5"/>
  <c r="T18" i="5"/>
  <c r="S18" i="5"/>
  <c r="T22" i="5"/>
  <c r="T5" i="5"/>
  <c r="T6" i="5"/>
  <c r="T20" i="5"/>
  <c r="C4" i="6" l="1"/>
  <c r="C11" i="6"/>
  <c r="C8" i="6"/>
  <c r="C9" i="6"/>
  <c r="C10"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23" i="5"/>
  <c r="S5" i="5"/>
  <c r="S6" i="5"/>
  <c r="S20" i="5"/>
  <c r="S24" i="5"/>
  <c r="S22"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V16" i="5"/>
  <c r="V14" i="5"/>
  <c r="AB9" i="5"/>
  <c r="AB10" i="5"/>
  <c r="V11" i="5"/>
  <c r="AB14" i="5"/>
  <c r="AB17" i="5"/>
  <c r="V10" i="5"/>
  <c r="AB16" i="5"/>
  <c r="AB8" i="5"/>
  <c r="V9" i="5"/>
  <c r="AB13" i="5"/>
  <c r="AB15" i="5"/>
  <c r="V8" i="5"/>
  <c r="AB11" i="5"/>
  <c r="V17" i="5"/>
  <c r="V15" i="5"/>
  <c r="AB7" i="5"/>
  <c r="V13" i="5"/>
  <c r="V7" i="5"/>
  <c r="F69" i="6"/>
  <c r="C69" i="6" s="1"/>
  <c r="H49" i="6"/>
  <c r="D49" i="6" s="1"/>
  <c r="H34" i="6"/>
  <c r="H32" i="6"/>
  <c r="C45" i="6"/>
  <c r="C51" i="6"/>
  <c r="D19" i="6"/>
  <c r="C19" i="6"/>
  <c r="K65"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24" i="6" l="1"/>
  <c r="C40" i="6"/>
  <c r="G68" i="6"/>
  <c r="H68" i="6" s="1"/>
  <c r="D68" i="6" s="1"/>
  <c r="C39" i="6"/>
  <c r="C35" i="6"/>
  <c r="C46" i="6"/>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49" i="6"/>
  <c r="C47" i="6"/>
  <c r="C60" i="6"/>
  <c r="D60" i="6"/>
  <c r="D58" i="6"/>
  <c r="C58" i="6"/>
  <c r="D63" i="6"/>
  <c r="C63" i="6"/>
  <c r="C62" i="6"/>
  <c r="D62" i="6"/>
  <c r="C54" i="6"/>
  <c r="D54" i="6"/>
  <c r="D57" i="6"/>
  <c r="C57" i="6"/>
  <c r="F56" i="6"/>
  <c r="H56" i="6" s="1"/>
  <c r="H55" i="6"/>
  <c r="D59" i="6"/>
  <c r="C59" i="6"/>
  <c r="T15" i="5"/>
  <c r="T14" i="5"/>
  <c r="T9" i="5"/>
  <c r="T16" i="5"/>
  <c r="T7" i="5"/>
  <c r="T12" i="5"/>
  <c r="T8" i="5"/>
  <c r="T13" i="5"/>
  <c r="T11" i="5"/>
  <c r="T10" i="5"/>
  <c r="T17" i="5"/>
  <c r="C68" i="6" l="1"/>
  <c r="X13" i="5"/>
  <c r="X10" i="5"/>
  <c r="D65" i="6"/>
  <c r="X9" i="5"/>
  <c r="X12" i="5"/>
  <c r="X14" i="5"/>
  <c r="X17" i="5"/>
  <c r="D66" i="6"/>
  <c r="C67" i="6"/>
  <c r="X11" i="5"/>
  <c r="X15" i="5"/>
  <c r="X8" i="5"/>
  <c r="X7" i="5"/>
  <c r="G69" i="6"/>
  <c r="H69" i="6" s="1"/>
  <c r="H70" i="6" s="1"/>
  <c r="D2" i="6" s="1"/>
  <c r="X16" i="5"/>
  <c r="D55" i="6"/>
  <c r="C55" i="6"/>
  <c r="D56" i="6"/>
  <c r="C56" i="6"/>
  <c r="S15" i="5"/>
  <c r="S12" i="5"/>
  <c r="S7" i="5"/>
  <c r="S14" i="5"/>
  <c r="S9" i="5"/>
  <c r="S16" i="5"/>
  <c r="S11" i="5"/>
  <c r="S10" i="5"/>
  <c r="S17" i="5"/>
  <c r="S8" i="5"/>
  <c r="S13"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<sst xmlns="http://schemas.openxmlformats.org/spreadsheetml/2006/main" count="22112" uniqueCount="15618">
  <si>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</si>
  <si>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</si>
  <si>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</si>
  <si>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</si>
  <si>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</si>
  <si>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</si>
  <si>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</si>
  <si>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</si>
  <si>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</si>
  <si>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</si>
  <si>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</si>
  <si>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</si>
  <si>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</si>
  <si>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</si>
  <si>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</si>
  <si>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</si>
  <si>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</si>
  <si>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</si>
  <si>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</si>
  <si>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</si>
  <si>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</si>
  <si>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</si>
  <si>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</si>
  <si>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</si>
  <si>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</si>
  <si>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</si>
  <si>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</si>
  <si>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</si>
  <si>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</si>
  <si>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</si>
  <si>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</si>
  <si>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</si>
  <si>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</si>
  <si>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</si>
  <si>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</si>
  <si>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</si>
  <si>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</si>
  <si>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</si>
  <si>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</si>
  <si>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</si>
  <si>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</si>
  <si>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</si>
  <si>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</si>
  <si>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</si>
  <si>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</si>
  <si>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</si>
  <si>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</si>
  <si>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</si>
  <si>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</si>
  <si>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</si>
  <si>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</si>
  <si>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</si>
  <si>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</si>
  <si>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</si>
  <si>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</si>
  <si>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</si>
  <si>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</si>
  <si>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</si>
  <si>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</si>
  <si>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</si>
  <si>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</si>
  <si>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</si>
  <si>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</si>
  <si>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</si>
  <si>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</si>
  <si>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</si>
  <si>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</si>
  <si>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</si>
  <si>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</si>
  <si>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</si>
  <si>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</si>
  <si>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</si>
  <si>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</si>
  <si>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</si>
  <si>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</si>
  <si>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</si>
  <si>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</si>
  <si>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</si>
  <si>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</si>
  <si>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</si>
  <si>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</si>
  <si>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</si>
  <si>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</si>
  <si>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</si>
  <si>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</si>
  <si>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</si>
  <si>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</si>
  <si>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</si>
  <si>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</si>
  <si>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</si>
  <si>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</si>
  <si>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</si>
  <si>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</si>
  <si>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</si>
  <si>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</si>
  <si>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</si>
  <si>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</si>
  <si>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</si>
  <si>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</si>
  <si>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</si>
  <si>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</si>
  <si>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</si>
  <si>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</si>
  <si>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</si>
  <si>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</si>
  <si>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</si>
  <si>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</si>
  <si>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</si>
  <si>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</si>
  <si>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</si>
  <si>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</si>
  <si>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</si>
  <si>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</si>
  <si>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</si>
  <si>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</si>
  <si>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</si>
  <si>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</si>
  <si>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</si>
  <si>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</si>
  <si>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</si>
  <si>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</si>
  <si>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</si>
  <si>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</si>
  <si>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</si>
  <si>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</si>
  <si>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</si>
  <si>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</si>
  <si>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</si>
  <si>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</si>
  <si>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</si>
  <si>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</si>
  <si>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</si>
  <si>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</si>
  <si>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</si>
  <si>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</si>
  <si>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</si>
  <si>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</si>
  <si>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</si>
  <si>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</si>
  <si>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</si>
  <si>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</si>
  <si>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</si>
  <si>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</si>
  <si>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</si>
  <si>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</si>
  <si>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</si>
  <si>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</si>
  <si>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</si>
  <si>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</si>
  <si>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</si>
  <si>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</si>
  <si>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</si>
  <si>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</si>
  <si>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</si>
  <si>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</si>
  <si>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</si>
  <si>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</si>
  <si>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</si>
  <si>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</si>
  <si>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</si>
  <si>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</si>
  <si>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</si>
  <si>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</si>
  <si>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</si>
  <si>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</si>
  <si>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</si>
  <si>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</si>
  <si>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</si>
  <si>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</si>
  <si>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</si>
  <si>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</si>
  <si>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</si>
  <si>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</si>
  <si>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</si>
  <si>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</si>
  <si>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</si>
  <si>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</si>
  <si>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</si>
  <si>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</si>
  <si>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</si>
  <si>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</si>
  <si>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</si>
  <si>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</si>
  <si>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</si>
  <si>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</si>
  <si>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</si>
  <si>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</si>
  <si>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</si>
  <si>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</si>
  <si>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</si>
  <si>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</si>
  <si>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</si>
  <si>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</si>
  <si>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</si>
  <si>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</si>
  <si>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</si>
  <si>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</si>
  <si>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</si>
  <si>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</si>
  <si>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</si>
  <si>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</si>
  <si>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</si>
  <si>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</si>
  <si>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</si>
  <si>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</si>
  <si>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</si>
  <si>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</si>
  <si>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</si>
  <si>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</si>
  <si>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</si>
  <si>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</si>
  <si>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</si>
  <si>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</si>
  <si>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</si>
  <si>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</si>
  <si>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</si>
  <si>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</si>
  <si>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</si>
  <si>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</si>
  <si>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</si>
  <si>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</si>
  <si>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</si>
  <si>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</si>
  <si>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</si>
  <si>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</si>
  <si>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</si>
  <si>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</si>
  <si>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</si>
  <si>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</si>
  <si>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</si>
  <si>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</si>
  <si>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</si>
  <si>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</si>
  <si>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</si>
  <si>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</si>
  <si>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</si>
  <si>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</si>
  <si>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</si>
  <si>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</si>
  <si>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</si>
  <si>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</si>
  <si>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</si>
  <si>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</si>
  <si>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</si>
  <si>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</si>
  <si>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</si>
  <si>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</si>
  <si>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</si>
  <si>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</si>
  <si>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</si>
  <si>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</si>
  <si>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</si>
  <si>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</si>
  <si>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</si>
  <si>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</si>
  <si>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</si>
  <si>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</si>
  <si>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</si>
  <si>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</si>
  <si>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</si>
  <si>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</si>
  <si>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</si>
  <si>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</si>
  <si>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</si>
  <si>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</si>
  <si>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</si>
  <si>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</si>
  <si>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</si>
  <si>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</si>
  <si>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</si>
  <si>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</si>
  <si>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</si>
  <si>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</si>
  <si>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</si>
  <si>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</si>
  <si>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</si>
  <si>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</si>
  <si>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</si>
  <si>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</si>
  <si>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</si>
  <si>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</si>
  <si>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</si>
  <si>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</si>
  <si>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</si>
  <si>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</si>
  <si>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</si>
  <si>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</si>
  <si>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</si>
  <si>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</si>
  <si>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</si>
  <si>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</si>
  <si>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</si>
  <si>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</si>
  <si>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</si>
  <si>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</si>
  <si>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</si>
  <si>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</si>
  <si>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</si>
  <si>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</si>
  <si>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</si>
  <si>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</si>
  <si>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</si>
  <si>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</si>
  <si>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</si>
  <si>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</si>
  <si>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</si>
  <si>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</si>
  <si>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</si>
  <si>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</si>
  <si>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</si>
  <si>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</si>
  <si>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</si>
  <si>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</si>
  <si>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</si>
  <si>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</si>
  <si>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</si>
  <si>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</si>
  <si>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</si>
  <si>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</si>
  <si>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</si>
  <si>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</si>
  <si>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</si>
  <si>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</si>
  <si>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</si>
  <si>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</si>
  <si>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</si>
  <si>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</si>
  <si>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</si>
  <si>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</si>
  <si>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</si>
  <si>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</si>
  <si>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</si>
  <si>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</si>
  <si>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</si>
  <si>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</si>
  <si>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</si>
  <si>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</si>
  <si>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</si>
  <si>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</si>
  <si>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</si>
  <si>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</si>
  <si>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</si>
  <si>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</si>
  <si>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</si>
  <si>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</si>
  <si>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</si>
  <si>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</si>
  <si>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</si>
  <si>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</si>
  <si>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</si>
  <si>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</si>
  <si>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</si>
  <si>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</si>
  <si>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</si>
  <si>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</si>
  <si>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</si>
  <si>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</si>
  <si>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</si>
  <si>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</si>
  <si>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</si>
  <si>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</si>
  <si>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</si>
  <si>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</si>
  <si>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</si>
  <si>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</si>
  <si>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</si>
  <si>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</si>
  <si>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</si>
  <si>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</si>
  <si>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</si>
  <si>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</si>
  <si>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</si>
  <si>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</si>
  <si>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</si>
  <si>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</si>
  <si>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</si>
  <si>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</si>
  <si>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</si>
  <si>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</si>
  <si>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</si>
  <si>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</si>
  <si>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</si>
  <si>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</si>
  <si>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</si>
  <si>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</si>
  <si>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</si>
  <si>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</si>
  <si>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</si>
  <si>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</si>
  <si>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</si>
  <si>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</si>
  <si>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</si>
  <si>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</si>
  <si>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</si>
  <si>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</si>
  <si>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</si>
  <si>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</si>
  <si>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</si>
  <si>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</si>
  <si>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</si>
  <si>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</si>
  <si>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</si>
  <si>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</si>
  <si>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</si>
  <si>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</si>
  <si>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</si>
  <si>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</si>
  <si>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</si>
  <si>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</si>
  <si>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</si>
  <si>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</si>
  <si>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</si>
  <si>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</si>
  <si>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</si>
  <si>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</si>
  <si>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</si>
  <si>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</si>
  <si>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</si>
  <si>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</si>
  <si>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</si>
  <si>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</si>
  <si>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</si>
  <si>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</si>
  <si>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</si>
  <si>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</si>
  <si>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</si>
  <si>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</si>
  <si>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</si>
  <si>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</si>
  <si>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</si>
  <si>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</si>
  <si>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</si>
  <si>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</si>
  <si>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</si>
  <si>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</si>
  <si>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</si>
  <si>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</si>
  <si>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</si>
  <si>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</si>
  <si>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</si>
  <si>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</si>
  <si>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</si>
  <si>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</si>
  <si>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</si>
  <si>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</si>
  <si>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</si>
  <si>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</si>
  <si>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</si>
  <si>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</si>
  <si>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</si>
  <si>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</si>
  <si>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</si>
  <si>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</si>
  <si>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</si>
  <si>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</si>
  <si>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</si>
  <si>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</si>
  <si>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</si>
  <si>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</si>
  <si>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</si>
  <si>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</si>
  <si>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</si>
  <si>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</si>
  <si>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</si>
  <si>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</si>
  <si>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</si>
  <si>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</si>
  <si>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</si>
  <si>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</si>
  <si>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</si>
  <si>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</si>
  <si>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</si>
  <si>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</si>
  <si>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</si>
  <si>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</si>
  <si>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</si>
  <si>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</si>
  <si>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</si>
  <si>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</si>
  <si>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</si>
  <si>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</si>
  <si>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</si>
  <si>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</si>
  <si>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</si>
  <si>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</si>
  <si>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</si>
  <si>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</si>
  <si>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</si>
  <si>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</si>
  <si>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</si>
  <si>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</si>
  <si>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</si>
  <si>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</si>
  <si>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</si>
  <si>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</si>
  <si>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</si>
  <si>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</si>
  <si>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</si>
  <si>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</si>
  <si>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</si>
  <si>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</si>
  <si>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</si>
  <si>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</si>
  <si>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</si>
  <si>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</si>
  <si>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</si>
  <si>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</si>
  <si>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</si>
  <si>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</si>
  <si>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</si>
  <si>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</si>
  <si>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</si>
  <si>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</si>
  <si>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</si>
  <si>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</si>
  <si>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</si>
  <si>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</si>
  <si>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</si>
  <si>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</si>
  <si>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</si>
  <si>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</si>
  <si>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</si>
  <si>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</si>
  <si>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</si>
  <si>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</si>
  <si>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</si>
  <si>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</si>
  <si>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</si>
  <si>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</si>
  <si>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</si>
  <si>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</si>
  <si>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</si>
  <si>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</si>
  <si>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</si>
  <si>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</si>
  <si>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</si>
  <si>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</si>
  <si>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</si>
  <si>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</si>
  <si>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</si>
  <si>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</si>
  <si>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</si>
  <si>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</si>
  <si>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</si>
  <si>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</si>
  <si>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</si>
  <si>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</si>
  <si>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</si>
  <si>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</si>
  <si>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</si>
  <si>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</si>
  <si>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</si>
  <si>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</si>
  <si>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</si>
  <si>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</si>
  <si>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</si>
  <si>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</si>
  <si>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</si>
  <si>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</si>
  <si>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</si>
  <si>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</si>
  <si>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</si>
  <si>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</si>
  <si>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</si>
  <si>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</si>
  <si>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</si>
  <si>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</si>
  <si>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</si>
  <si>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</si>
  <si>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</si>
  <si>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</si>
  <si>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</si>
  <si>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</si>
  <si>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</si>
  <si>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</si>
  <si>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</si>
  <si>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</si>
  <si>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</si>
  <si>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</si>
  <si>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</si>
  <si>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</si>
  <si>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</si>
  <si>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</si>
  <si>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</si>
  <si>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</si>
  <si>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</si>
  <si>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</si>
  <si>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</si>
  <si>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</si>
  <si>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</si>
  <si>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</si>
  <si>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</si>
  <si>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</si>
  <si>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</si>
  <si>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</si>
  <si>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</si>
  <si>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</si>
  <si>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</si>
  <si>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</si>
  <si>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</si>
  <si>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</si>
  <si>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</si>
  <si>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</si>
  <si>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</si>
  <si>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</si>
  <si>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</si>
  <si>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</si>
  <si>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</si>
  <si>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</si>
  <si>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</si>
  <si>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</si>
  <si>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</si>
  <si>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</si>
  <si>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</si>
  <si>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</si>
  <si>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</si>
  <si>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</si>
  <si>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</si>
  <si>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</si>
  <si>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</si>
  <si>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</si>
  <si>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</si>
  <si>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</si>
  <si>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</si>
  <si>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</si>
  <si>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</si>
  <si>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</si>
  <si>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</si>
  <si>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</si>
  <si>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</si>
  <si>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</si>
  <si>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</si>
  <si>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</si>
  <si>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</si>
  <si>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</si>
  <si>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</si>
  <si>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</si>
  <si>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</si>
  <si>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</si>
  <si>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</si>
  <si>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</si>
  <si>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</si>
  <si>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</si>
  <si>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</si>
  <si>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</si>
  <si>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</si>
  <si>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</si>
  <si>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</si>
  <si>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</si>
  <si>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</si>
  <si>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</si>
  <si>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</si>
  <si>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</si>
  <si>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</si>
  <si>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</si>
  <si>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</si>
  <si>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</si>
  <si>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</si>
  <si>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</si>
  <si>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</si>
  <si>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</si>
  <si>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</si>
  <si>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</si>
  <si>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</si>
  <si>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</si>
  <si>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</si>
  <si>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</si>
  <si>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</si>
  <si>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</si>
  <si>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</si>
  <si>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</si>
  <si>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</si>
  <si>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</si>
  <si>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</si>
  <si>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</si>
  <si>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</si>
  <si>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</si>
  <si>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</si>
  <si>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</si>
  <si>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</si>
  <si>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</si>
  <si>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</si>
  <si>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</si>
  <si>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</si>
  <si>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</si>
  <si>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</si>
  <si>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</si>
  <si>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</si>
  <si>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</si>
  <si>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</si>
  <si>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</si>
  <si>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</si>
  <si>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</si>
  <si>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</si>
  <si>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</si>
  <si>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</si>
  <si>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</si>
  <si>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</si>
  <si>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</si>
  <si>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</si>
  <si>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</si>
  <si>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</si>
  <si>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</si>
  <si>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</si>
  <si>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</si>
  <si>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</si>
  <si>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</si>
  <si>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</si>
  <si>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</si>
  <si>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</si>
  <si>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</si>
  <si>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</si>
  <si>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</si>
  <si>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</si>
  <si>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</si>
  <si>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</si>
  <si>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</si>
  <si>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</si>
  <si>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</si>
  <si>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</si>
  <si>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</si>
  <si>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</si>
  <si>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</si>
  <si>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</si>
  <si>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</si>
  <si>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</si>
  <si>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</si>
  <si>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</si>
  <si>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</si>
  <si>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</si>
  <si>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</si>
  <si>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</si>
  <si>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</si>
  <si>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</si>
  <si>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</si>
  <si>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</si>
  <si>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</si>
  <si>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</si>
  <si>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</si>
  <si>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</si>
  <si>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</si>
  <si>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</si>
  <si>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</si>
  <si>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</si>
  <si>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</si>
  <si>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</si>
  <si>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</si>
  <si>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</si>
  <si>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</si>
  <si>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</si>
  <si>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</si>
  <si>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</si>
  <si>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</si>
  <si>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</si>
  <si>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</si>
  <si>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</si>
  <si>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</si>
  <si>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</si>
  <si>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</si>
  <si>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</si>
  <si>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</si>
  <si>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</si>
  <si>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</si>
  <si>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</si>
  <si>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</si>
  <si>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</si>
  <si>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</si>
  <si>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</si>
  <si>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</si>
  <si>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</si>
  <si>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</si>
  <si>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</si>
  <si>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</si>
  <si>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</si>
  <si>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</si>
  <si>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</si>
  <si>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</si>
  <si>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</si>
  <si>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</si>
  <si>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</si>
  <si>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</si>
  <si>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</si>
  <si>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</si>
  <si>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</si>
  <si>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</si>
  <si>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</si>
  <si>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</si>
  <si>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</si>
  <si>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</si>
  <si>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</si>
  <si>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</si>
  <si>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</si>
  <si>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</si>
  <si>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</si>
  <si>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</si>
  <si>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</si>
  <si>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</si>
  <si>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</si>
  <si>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</si>
  <si>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</si>
  <si>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</si>
  <si>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</si>
  <si>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</si>
  <si>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</si>
  <si>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</si>
  <si>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</si>
  <si>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</si>
  <si>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</si>
  <si>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</si>
  <si>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</si>
  <si>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</si>
  <si>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</si>
  <si>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</si>
  <si>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</si>
  <si>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</si>
  <si>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</si>
  <si>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</si>
  <si>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</si>
  <si>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</si>
  <si>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</si>
  <si>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</si>
  <si>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</si>
  <si>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</si>
  <si>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</si>
  <si>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</si>
  <si>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</si>
  <si>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</si>
  <si>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</si>
  <si>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</si>
  <si>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</si>
  <si>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</si>
  <si>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</si>
  <si>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</si>
  <si>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</si>
  <si>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</si>
  <si>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</si>
  <si>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</si>
  <si>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</si>
  <si>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</si>
  <si>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</si>
  <si>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</si>
  <si>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</si>
  <si>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</si>
  <si>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</si>
  <si>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</si>
  <si>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</si>
  <si>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</si>
  <si>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</si>
  <si>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</si>
  <si>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</si>
  <si>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</si>
  <si>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</si>
  <si>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</si>
  <si>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</si>
  <si>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</si>
  <si>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</si>
  <si>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</si>
  <si>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</si>
  <si>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</si>
  <si>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</si>
  <si>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</si>
  <si>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</si>
  <si>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</si>
  <si>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</si>
  <si>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</si>
  <si>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</si>
  <si>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</si>
  <si>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</si>
  <si>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</si>
  <si>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</si>
  <si>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</si>
  <si>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</si>
  <si>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</si>
  <si>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</si>
  <si>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</si>
  <si>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</si>
  <si>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</si>
  <si>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</si>
  <si>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</si>
  <si>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</si>
  <si>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</si>
  <si>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</si>
  <si>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</si>
  <si>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</si>
  <si>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</si>
  <si>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</si>
  <si>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</si>
  <si>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</si>
  <si>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</si>
  <si>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</si>
  <si>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</si>
  <si>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</si>
  <si>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</si>
  <si>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</si>
  <si>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</si>
  <si>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</si>
  <si>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</si>
  <si>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</si>
  <si>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</si>
  <si>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</si>
  <si>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</si>
  <si>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</si>
  <si>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</si>
  <si>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</si>
  <si>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</si>
  <si>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</si>
  <si>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</si>
  <si>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</si>
  <si>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</si>
  <si>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</si>
  <si>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</si>
  <si>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</si>
  <si>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</si>
  <si>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</si>
  <si>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</si>
  <si>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</si>
  <si>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</si>
  <si>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</si>
  <si>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</si>
  <si>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</si>
  <si>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</si>
  <si>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</si>
  <si>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</si>
  <si>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</si>
  <si>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</si>
  <si>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</si>
  <si>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</si>
  <si>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</si>
  <si>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</si>
  <si>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</si>
  <si>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</si>
  <si>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</si>
  <si>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</si>
  <si>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</si>
  <si>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</si>
  <si>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</si>
  <si>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</si>
  <si>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</si>
  <si>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</si>
  <si>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</si>
  <si>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</si>
  <si>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</si>
  <si>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</si>
  <si>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</si>
  <si>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</si>
  <si>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</si>
  <si>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</si>
  <si>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</si>
  <si>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</si>
  <si>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</si>
  <si>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</si>
  <si>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</si>
  <si>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</si>
  <si>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</si>
  <si>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</si>
  <si>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</si>
  <si>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</si>
  <si>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</si>
  <si>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</si>
  <si>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</si>
  <si>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</si>
  <si>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</si>
  <si>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</si>
  <si>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</si>
  <si>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</si>
  <si>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</si>
  <si>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</si>
  <si>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</si>
  <si>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</si>
  <si>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</si>
  <si>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</si>
  <si>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</si>
  <si>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</si>
  <si>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</si>
  <si>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</si>
  <si>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</si>
  <si>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</si>
  <si>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</si>
  <si>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</si>
  <si>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</si>
  <si>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</si>
  <si>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</si>
  <si>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</si>
  <si>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</si>
  <si>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</si>
  <si>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</si>
  <si>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</si>
  <si>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</si>
  <si>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</si>
  <si>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</si>
  <si>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</si>
  <si>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</si>
  <si>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</si>
  <si>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</si>
  <si>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</si>
  <si>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</si>
  <si>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</si>
  <si>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</si>
  <si>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</si>
  <si>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</si>
  <si>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</si>
  <si>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</si>
  <si>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</si>
  <si>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</si>
  <si>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</si>
  <si>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</si>
  <si>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</si>
  <si>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</si>
  <si>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</si>
  <si>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</si>
  <si>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</si>
  <si>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</si>
  <si>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</si>
  <si>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</si>
  <si>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</si>
  <si>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</si>
  <si>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</si>
  <si>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</si>
  <si>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</si>
  <si>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</si>
  <si>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</si>
  <si>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</si>
  <si>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</si>
  <si>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</si>
  <si>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</si>
  <si>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</si>
  <si>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</si>
  <si>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</si>
  <si>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</si>
  <si>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</si>
  <si>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</si>
  <si>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</si>
  <si>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</si>
  <si>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</si>
  <si>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</si>
  <si>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</si>
  <si>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</si>
  <si>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</si>
  <si>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</si>
  <si>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</si>
  <si>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</si>
  <si>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</si>
  <si>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</si>
  <si>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</si>
  <si>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</si>
  <si>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</si>
  <si>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</si>
  <si>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</si>
  <si>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</si>
  <si>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</si>
  <si>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</si>
  <si>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</si>
  <si>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</si>
  <si>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</si>
  <si>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</si>
  <si>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</si>
  <si>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</si>
  <si>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</si>
  <si>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</si>
  <si>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</si>
  <si>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</si>
  <si>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</si>
  <si>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</si>
  <si>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</si>
  <si>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</si>
  <si>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</si>
  <si>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</si>
  <si>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</si>
  <si>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</si>
  <si>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</si>
  <si>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</si>
  <si>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</si>
  <si>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</si>
  <si>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</si>
  <si>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</si>
  <si>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</si>
  <si>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</si>
  <si>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</si>
  <si>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</si>
  <si>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</si>
  <si>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</si>
  <si>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</si>
  <si>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</si>
  <si>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</si>
  <si>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</si>
  <si>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</si>
  <si>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</si>
  <si>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</si>
  <si>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</si>
  <si>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</si>
  <si>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</si>
  <si>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</si>
  <si>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</si>
  <si>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</si>
  <si>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</si>
  <si>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</si>
  <si>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</si>
  <si>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</si>
  <si>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</si>
  <si>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</si>
  <si>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</si>
  <si>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</si>
  <si>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</si>
  <si>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</si>
  <si>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</si>
  <si>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</si>
  <si>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</si>
  <si>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</si>
  <si>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</si>
  <si>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</si>
  <si>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</si>
  <si>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</si>
  <si>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</si>
  <si>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</si>
  <si>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</si>
  <si>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</si>
  <si>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</si>
  <si>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</si>
  <si>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</si>
  <si>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</si>
  <si>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</si>
  <si>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</si>
  <si>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</si>
  <si>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</si>
  <si>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</si>
  <si>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</si>
  <si>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</si>
  <si>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</si>
  <si>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</si>
  <si>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</si>
  <si>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</si>
  <si>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</si>
  <si>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</si>
  <si>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</si>
  <si>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</si>
  <si>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</si>
  <si>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</si>
  <si>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</si>
  <si>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</si>
  <si>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</si>
  <si>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</si>
  <si>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</si>
  <si>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</si>
  <si>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</si>
  <si>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</si>
  <si>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</si>
  <si>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</si>
  <si>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</si>
  <si>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</si>
  <si>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</si>
  <si>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</si>
  <si>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</si>
  <si>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</si>
  <si>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</si>
  <si>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</si>
  <si>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</si>
  <si>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</si>
  <si>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</si>
  <si>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</si>
  <si>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</si>
  <si>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</si>
  <si>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</si>
  <si>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</si>
  <si>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</si>
  <si>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</si>
  <si>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</si>
  <si>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</si>
  <si>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</si>
  <si>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</si>
  <si>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</si>
  <si>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</si>
  <si>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</si>
  <si>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</si>
  <si>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</si>
  <si>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</si>
  <si>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</si>
  <si>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</si>
  <si>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</si>
  <si>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</si>
  <si>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</si>
  <si>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</si>
  <si>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</si>
  <si>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</si>
  <si>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</si>
  <si>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</si>
  <si>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</si>
  <si>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</si>
  <si>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</si>
  <si>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</si>
  <si>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</si>
  <si>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</si>
  <si>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</si>
  <si>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</si>
  <si>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</si>
  <si>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</si>
  <si>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</si>
  <si>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</si>
  <si>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</si>
  <si>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</si>
  <si>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</si>
  <si>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</si>
  <si>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</si>
  <si>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</si>
  <si>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</si>
  <si>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</si>
  <si>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</si>
  <si>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</si>
  <si>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</si>
  <si>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</si>
  <si>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</si>
  <si>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</si>
  <si>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</si>
  <si>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</si>
  <si>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</si>
  <si>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</si>
  <si>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</si>
  <si>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</si>
  <si>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</si>
  <si>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</si>
  <si>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</si>
  <si>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</si>
  <si>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</si>
  <si>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</si>
  <si>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</si>
  <si>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</si>
  <si>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</si>
  <si>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</si>
  <si>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</si>
  <si>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</si>
  <si>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</si>
  <si>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</si>
  <si>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</si>
  <si>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</si>
  <si>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</si>
  <si>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</si>
  <si>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</si>
  <si>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</si>
  <si>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</si>
  <si>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</si>
  <si>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</si>
  <si>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</si>
  <si>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</si>
  <si>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</si>
  <si>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</si>
  <si>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</si>
  <si>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</si>
  <si>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</si>
  <si>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</si>
  <si>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</si>
  <si>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</si>
  <si>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</si>
  <si>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</si>
  <si>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</si>
  <si>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</si>
  <si>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</si>
  <si>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</si>
  <si>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</si>
  <si>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</si>
  <si>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</si>
  <si>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</si>
  <si>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</si>
  <si>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</si>
  <si>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</si>
  <si>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</si>
  <si>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</si>
  <si>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</si>
  <si>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</si>
  <si>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</si>
  <si>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</si>
  <si>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</si>
  <si>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</si>
  <si>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</si>
  <si>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</si>
  <si>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</si>
  <si>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</si>
  <si>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</si>
  <si>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</si>
  <si>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</si>
  <si>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</si>
  <si>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</si>
  <si>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</si>
  <si>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</si>
  <si>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</si>
  <si>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</si>
  <si>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</si>
  <si>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</si>
  <si>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</si>
  <si>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</si>
  <si>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</si>
  <si>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</si>
  <si>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</si>
  <si>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</si>
  <si>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</si>
  <si>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</si>
  <si>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</si>
  <si>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</si>
  <si>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</si>
  <si>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</si>
  <si>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</si>
  <si>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</si>
  <si>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</si>
  <si>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</si>
  <si>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</si>
  <si>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</si>
  <si>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</si>
  <si>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</si>
  <si>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</si>
  <si>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</si>
  <si>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</si>
  <si>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</si>
  <si>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</si>
  <si>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</si>
  <si>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</si>
  <si>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</si>
  <si>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</si>
  <si>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</si>
  <si>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</si>
  <si>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</si>
  <si>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</si>
  <si>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</si>
  <si>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</si>
  <si>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</si>
  <si>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</si>
  <si>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</si>
  <si>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</si>
  <si>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</si>
  <si>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</si>
  <si>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</si>
  <si>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</si>
  <si>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</si>
  <si>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</si>
  <si>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</si>
  <si>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</si>
  <si>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</si>
  <si>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</si>
  <si>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</si>
  <si>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</si>
  <si>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</si>
  <si>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</si>
  <si>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</si>
  <si>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</si>
  <si>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</si>
  <si>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</si>
  <si>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</si>
  <si>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</si>
  <si>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</si>
  <si>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</si>
  <si>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</si>
  <si>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</si>
  <si>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</si>
  <si>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</si>
  <si>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</si>
  <si>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</si>
  <si>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</si>
  <si>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</si>
  <si>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</si>
  <si>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</si>
  <si>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</si>
  <si>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</si>
  <si>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</si>
  <si>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</si>
  <si>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</si>
  <si>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</si>
  <si>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</si>
  <si>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</si>
  <si>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</si>
  <si>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</si>
  <si>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</si>
  <si>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</si>
  <si>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</si>
  <si>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</si>
  <si>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</si>
  <si>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</si>
  <si>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</si>
  <si>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</si>
  <si>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</si>
  <si>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</si>
  <si>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</si>
  <si>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</si>
  <si>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</si>
  <si>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</si>
  <si>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</si>
  <si>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</si>
  <si>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</si>
  <si>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</si>
  <si>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</si>
  <si>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</si>
  <si>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</si>
  <si>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</si>
  <si>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</si>
  <si>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</si>
  <si>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</si>
  <si>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</si>
  <si>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</si>
  <si>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</si>
  <si>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</si>
  <si>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</si>
  <si>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</si>
  <si>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</si>
  <si>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</si>
  <si>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</si>
  <si>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</si>
  <si>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</si>
  <si>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</si>
  <si>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</si>
  <si>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</si>
  <si>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</si>
  <si>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</si>
  <si>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</si>
  <si>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</si>
  <si>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</si>
  <si>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</si>
  <si>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</si>
  <si>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</si>
  <si>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</si>
  <si>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</si>
  <si>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</si>
  <si>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</si>
  <si>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</si>
  <si>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</si>
  <si>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</si>
  <si>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</si>
  <si>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</si>
  <si>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</si>
  <si>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</si>
  <si>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</si>
  <si>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</si>
  <si>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</si>
  <si>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</si>
  <si>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</si>
  <si>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</si>
  <si>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</si>
  <si>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</si>
  <si>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</si>
  <si>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</si>
  <si>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</si>
  <si>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</si>
  <si>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</si>
  <si>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</si>
  <si>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</si>
  <si>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</si>
  <si>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</si>
  <si>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</si>
  <si>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</si>
  <si>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</si>
  <si>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</si>
  <si>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</si>
  <si>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</si>
  <si>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</si>
  <si>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</si>
  <si>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</si>
  <si>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</si>
  <si>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</si>
  <si>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</si>
  <si>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</si>
  <si>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</si>
  <si>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</si>
  <si>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</si>
  <si>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</si>
  <si>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</si>
  <si>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</si>
  <si>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</si>
  <si>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</si>
  <si>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</si>
  <si>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</si>
  <si>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</si>
  <si>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</si>
  <si>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</si>
  <si>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</si>
  <si>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</si>
  <si>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</si>
  <si>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</si>
  <si>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</si>
  <si>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</si>
  <si>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</si>
  <si>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</si>
  <si>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</si>
  <si>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</si>
  <si>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</si>
  <si>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</si>
  <si>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</si>
  <si>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</si>
  <si>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</si>
  <si>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</si>
  <si>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</si>
  <si>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</si>
  <si>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</si>
  <si>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</si>
  <si>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</si>
  <si>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</si>
  <si>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</si>
  <si>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</si>
  <si>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</si>
  <si>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</si>
  <si>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</si>
  <si>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</si>
  <si>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</si>
  <si>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</si>
  <si>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</si>
  <si>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</si>
  <si>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</si>
  <si>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</si>
  <si>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</si>
  <si>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</si>
  <si>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</si>
  <si>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</si>
  <si>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</si>
  <si>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</si>
  <si>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</si>
  <si>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</si>
  <si>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</si>
  <si>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</si>
  <si>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</si>
  <si>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</si>
  <si>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</si>
  <si>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</si>
  <si>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</si>
  <si>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</si>
  <si>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</si>
  <si>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</si>
  <si>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</si>
  <si>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</si>
  <si>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</si>
  <si>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</si>
  <si>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</si>
  <si>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</si>
  <si>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</si>
  <si>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</si>
  <si>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</si>
  <si>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</si>
  <si>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</si>
  <si>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</si>
  <si>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</si>
  <si>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</si>
  <si>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</si>
  <si>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</si>
  <si>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</si>
  <si>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</si>
  <si>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</si>
  <si>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</si>
  <si>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</si>
  <si>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</si>
  <si>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</si>
  <si>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</si>
  <si>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</si>
  <si>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</si>
  <si>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</si>
  <si>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</si>
  <si>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</si>
  <si>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</si>
  <si>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</si>
  <si>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</si>
  <si>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</si>
  <si>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</si>
  <si>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</si>
  <si>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</si>
  <si>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</si>
  <si>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</si>
  <si>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</si>
  <si>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</si>
  <si>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</si>
  <si>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</si>
  <si>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</si>
  <si>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</si>
  <si>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</si>
  <si>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</si>
  <si>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</si>
  <si>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</si>
  <si>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</si>
  <si>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</si>
  <si>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</si>
  <si>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</si>
  <si>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</si>
  <si>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</si>
  <si>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</si>
  <si>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</si>
  <si>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</si>
  <si>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</si>
  <si>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</si>
  <si>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</si>
  <si>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</si>
  <si>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</si>
  <si>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</si>
  <si>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</si>
  <si>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</si>
  <si>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</si>
  <si>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</si>
  <si>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</si>
  <si>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</si>
  <si>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</si>
  <si>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</si>
  <si>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</si>
  <si>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</si>
  <si>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</si>
  <si>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</si>
  <si>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</si>
  <si>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</si>
  <si>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</si>
  <si>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</si>
  <si>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</si>
  <si>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</si>
  <si>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</si>
  <si>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</si>
  <si>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</si>
  <si>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</si>
  <si>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</si>
  <si>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</si>
  <si>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</si>
  <si>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</si>
  <si>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</si>
  <si>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</si>
  <si>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</si>
  <si>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</si>
  <si>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</si>
  <si>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</si>
  <si>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</si>
  <si>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</si>
  <si>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</si>
  <si>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</si>
  <si>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</si>
  <si>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</si>
  <si>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</si>
  <si>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</si>
  <si>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</si>
  <si>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</si>
  <si>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</si>
  <si>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</si>
  <si>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</si>
  <si>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</si>
  <si>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</si>
  <si>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</si>
  <si>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</si>
  <si>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</si>
  <si>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</si>
  <si>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</si>
  <si>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</si>
  <si>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</si>
  <si>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</si>
  <si>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</si>
  <si>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</si>
  <si>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</si>
  <si>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</si>
  <si>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</si>
  <si>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</si>
  <si>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</si>
  <si>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</si>
  <si>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</si>
  <si>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</si>
  <si>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</si>
  <si>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</si>
  <si>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</si>
  <si>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</si>
  <si>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</si>
  <si>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</si>
  <si>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</si>
  <si>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</si>
  <si>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</si>
  <si>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</si>
  <si>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</si>
  <si>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</si>
  <si>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</si>
  <si>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</si>
  <si>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</si>
  <si>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</si>
  <si>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</si>
  <si>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</si>
  <si>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</si>
  <si>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</si>
  <si>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</si>
  <si>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</si>
  <si>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</si>
  <si>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</si>
  <si>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</si>
  <si>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</si>
  <si>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</si>
  <si>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</si>
  <si>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</si>
  <si>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</si>
  <si>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</si>
  <si>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</si>
  <si>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</si>
  <si>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</si>
  <si>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</si>
  <si>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</si>
  <si>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</si>
  <si>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</si>
  <si>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</si>
  <si>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</si>
  <si>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</si>
  <si>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</si>
  <si>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</si>
  <si>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</si>
  <si>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</si>
  <si>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</si>
  <si>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</si>
  <si>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</si>
  <si>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</si>
  <si>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</si>
  <si>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</si>
  <si>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</si>
  <si>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</si>
  <si>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</si>
  <si>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</si>
  <si>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</si>
  <si>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</si>
  <si>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</si>
  <si>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</si>
  <si>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</si>
  <si>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</si>
  <si>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</si>
  <si>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</si>
  <si>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</si>
  <si>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</si>
  <si>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</si>
  <si>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</si>
  <si>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</si>
  <si>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</si>
  <si>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</si>
  <si>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</si>
  <si>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</si>
  <si>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</si>
  <si>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</si>
  <si>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</si>
  <si>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</si>
  <si>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</si>
  <si>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</si>
  <si>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</si>
  <si>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</si>
  <si>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</si>
  <si>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</si>
  <si>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</si>
  <si>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</si>
  <si>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</si>
  <si>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</si>
  <si>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</si>
  <si>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</si>
  <si>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</si>
  <si>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</si>
  <si>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</si>
  <si>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</si>
  <si>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</si>
  <si>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</si>
  <si>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</si>
  <si>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</si>
  <si>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</si>
  <si>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</si>
  <si>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</si>
  <si>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</si>
  <si>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</si>
  <si>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</si>
  <si>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</si>
  <si>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</si>
  <si>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</si>
  <si>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</si>
  <si>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</si>
  <si>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</si>
  <si>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</si>
  <si>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</si>
  <si>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</si>
  <si>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</si>
  <si>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</si>
  <si>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</si>
  <si>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</si>
  <si>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</si>
  <si>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</si>
  <si>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</si>
  <si>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</si>
  <si>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</si>
  <si>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</si>
  <si>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</si>
  <si>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</si>
  <si>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</si>
  <si>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</si>
  <si>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</si>
  <si>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</si>
  <si>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</si>
  <si>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</si>
  <si>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</si>
  <si>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</si>
  <si>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</si>
  <si>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</si>
  <si>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</si>
  <si>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</si>
  <si>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</si>
  <si>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</si>
  <si>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</si>
  <si>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</si>
  <si>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</si>
  <si>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</si>
  <si>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</si>
  <si>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</si>
  <si>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</si>
  <si>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</si>
  <si>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</si>
  <si>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</si>
  <si>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</si>
  <si>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</si>
  <si>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</si>
  <si>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</si>
  <si>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</si>
  <si>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</si>
  <si>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</si>
  <si>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</si>
  <si>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</si>
  <si>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</si>
  <si>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</si>
  <si>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</si>
  <si>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</si>
  <si>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</si>
  <si>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</si>
  <si>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</si>
  <si>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</si>
  <si>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</si>
  <si>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</si>
  <si>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</si>
  <si>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</si>
  <si>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</si>
  <si>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</si>
  <si>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</si>
  <si>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</si>
  <si>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</si>
  <si>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</si>
  <si>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</si>
  <si>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</si>
  <si>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</si>
  <si>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</si>
  <si>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</si>
  <si>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</si>
  <si>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</si>
  <si>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</si>
  <si>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</si>
  <si>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</si>
  <si>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</si>
  <si>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</si>
  <si>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</si>
  <si>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</si>
  <si>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</si>
  <si>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</si>
  <si>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</si>
  <si>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</si>
  <si>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</si>
  <si>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</si>
  <si>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</si>
  <si>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</si>
  <si>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</si>
  <si>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</si>
  <si>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</si>
  <si>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</si>
  <si>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</si>
  <si>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</si>
  <si>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</si>
  <si>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</si>
  <si>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</si>
  <si>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</si>
  <si>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</si>
  <si>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</si>
  <si>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</si>
  <si>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</si>
  <si>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</si>
  <si>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</si>
  <si>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</si>
  <si>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</si>
  <si>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</si>
  <si>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</si>
  <si>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</si>
  <si>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</si>
  <si>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</si>
  <si>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</si>
  <si>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</si>
  <si>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</si>
  <si>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</si>
  <si>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</si>
  <si>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</si>
  <si>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</si>
  <si>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</si>
  <si>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</si>
  <si>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</si>
  <si>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</si>
  <si>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</si>
  <si>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</si>
  <si>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</si>
  <si>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</si>
  <si>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</si>
  <si>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</si>
  <si>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</si>
  <si>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</si>
  <si>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</si>
  <si>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</si>
  <si>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</si>
  <si>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</si>
  <si>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</si>
  <si>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</si>
  <si>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</si>
  <si>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</si>
  <si>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</si>
  <si>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</si>
  <si>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</si>
  <si>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</si>
  <si>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</si>
  <si>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</si>
  <si>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</si>
  <si>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</si>
  <si>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</si>
  <si>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</si>
  <si>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</si>
  <si>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</si>
  <si>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</si>
  <si>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</si>
  <si>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</si>
  <si>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</si>
  <si>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</si>
  <si>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</si>
  <si>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</si>
  <si>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</si>
  <si>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</si>
  <si>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</si>
  <si>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</si>
  <si>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</si>
  <si>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</si>
  <si>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</si>
  <si>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</si>
  <si>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</si>
  <si>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</si>
  <si>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</si>
  <si>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</si>
  <si>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</si>
  <si>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</si>
  <si>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</si>
  <si>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</si>
  <si>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</si>
  <si>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</si>
  <si>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</si>
  <si>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</si>
  <si>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</si>
  <si>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</si>
  <si>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</si>
  <si>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</si>
  <si>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</si>
  <si>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</si>
  <si>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</si>
  <si>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</si>
  <si>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</si>
  <si>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</si>
  <si>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</si>
  <si>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</si>
  <si>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</si>
  <si>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</si>
  <si>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</si>
  <si>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</si>
  <si>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</si>
  <si>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</si>
  <si>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</si>
  <si>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</si>
  <si>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</si>
  <si>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</si>
  <si>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</si>
  <si>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</si>
  <si>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</si>
  <si>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</si>
  <si>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</si>
  <si>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</si>
  <si>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</si>
  <si>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</si>
  <si>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</si>
  <si>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</si>
  <si>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</si>
  <si>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</si>
  <si>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</si>
  <si>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</si>
  <si>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</si>
  <si>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</si>
  <si>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</si>
  <si>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</si>
  <si>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</si>
  <si>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</si>
  <si>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</si>
  <si>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</si>
  <si>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</si>
  <si>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</si>
  <si>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</si>
  <si>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</si>
  <si>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</si>
  <si>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</si>
  <si>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</si>
  <si>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</si>
  <si>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</si>
  <si>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</si>
  <si>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</si>
  <si>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</si>
  <si>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</si>
  <si>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</si>
  <si>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</si>
  <si>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</si>
  <si>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</si>
  <si>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</si>
  <si>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</si>
  <si>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</si>
  <si>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</si>
  <si>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</si>
  <si>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</si>
  <si>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</si>
  <si>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</si>
  <si>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</si>
  <si>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</si>
  <si>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</si>
  <si>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</si>
  <si>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</si>
  <si>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</si>
  <si>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</si>
  <si>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</si>
  <si>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</si>
  <si>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</si>
  <si>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</si>
  <si>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</si>
  <si>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</si>
  <si>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</si>
  <si>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</si>
  <si>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</si>
  <si>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</si>
  <si>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</si>
  <si>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</si>
  <si>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</si>
  <si>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</si>
  <si>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</si>
  <si>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</si>
  <si>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</si>
  <si>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</si>
  <si>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</si>
  <si>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</si>
  <si>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</si>
  <si>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</si>
  <si>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</si>
  <si>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</si>
  <si>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</si>
  <si>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</si>
  <si>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</si>
  <si>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</si>
  <si>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</si>
  <si>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</si>
  <si>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</si>
  <si>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</si>
  <si>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</si>
  <si>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</si>
  <si>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</si>
  <si>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</si>
  <si>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</si>
  <si>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</si>
  <si>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</si>
  <si>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</si>
  <si>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</si>
  <si>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</si>
  <si>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</si>
  <si>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</si>
  <si>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</si>
  <si>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</si>
  <si>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</si>
  <si>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</si>
  <si>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</si>
  <si>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</si>
  <si>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</si>
  <si>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</si>
  <si>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</si>
  <si>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</si>
  <si>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</si>
  <si>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</si>
  <si>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</si>
  <si>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</si>
  <si>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</si>
  <si>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</si>
  <si>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</si>
  <si>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</si>
  <si>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</si>
  <si>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</si>
  <si>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</si>
  <si>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</si>
  <si>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</si>
  <si>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</si>
  <si>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</si>
  <si>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</si>
  <si>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</si>
  <si>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</si>
  <si>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</si>
  <si>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</si>
  <si>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</si>
  <si>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</si>
  <si>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</si>
  <si>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</si>
  <si>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</si>
  <si>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</si>
  <si>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</si>
  <si>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</si>
  <si>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</si>
  <si>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</si>
  <si>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</si>
  <si>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</si>
  <si>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</si>
  <si>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</si>
  <si>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</si>
  <si>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</si>
  <si>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</si>
  <si>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</si>
  <si>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</si>
  <si>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</si>
  <si>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</si>
  <si>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</si>
  <si>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</si>
  <si>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</si>
  <si>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</si>
  <si>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</si>
  <si>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</si>
  <si>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</si>
  <si>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</si>
  <si>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</si>
  <si>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</si>
  <si>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</si>
  <si>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</si>
  <si>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</si>
  <si>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</si>
  <si>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</si>
  <si>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</si>
  <si>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</si>
  <si>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</si>
  <si>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</si>
  <si>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</si>
  <si>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</si>
  <si>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</si>
  <si>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</si>
  <si>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</si>
  <si>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</si>
  <si>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</si>
  <si>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</si>
  <si>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</si>
  <si>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</si>
  <si>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</si>
  <si>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</si>
  <si>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</si>
  <si>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</si>
  <si>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</si>
  <si>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</si>
  <si>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</si>
  <si>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</si>
  <si>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</si>
  <si>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</si>
  <si>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</si>
  <si>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</si>
  <si>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</si>
  <si>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</si>
  <si>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</si>
  <si>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</si>
  <si>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</si>
  <si>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</si>
  <si>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</si>
  <si>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</si>
  <si>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</si>
  <si>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</si>
  <si>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</si>
  <si>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</si>
  <si>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</si>
  <si>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</si>
  <si>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</si>
  <si>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</si>
  <si>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</si>
  <si>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</si>
  <si>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</si>
  <si>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</si>
  <si>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</si>
  <si>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</si>
  <si>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</si>
  <si>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</si>
  <si>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</si>
  <si>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</si>
  <si>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</si>
  <si>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</si>
  <si>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</si>
  <si>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</si>
  <si>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</si>
  <si>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</si>
  <si>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</si>
  <si>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</si>
  <si>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</si>
  <si>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</si>
  <si>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</si>
  <si>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</si>
  <si>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</si>
  <si>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</si>
  <si>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</si>
  <si>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</si>
  <si>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</si>
  <si>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</si>
  <si>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</si>
  <si>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</si>
  <si>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</si>
  <si>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</si>
  <si>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</si>
  <si>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</si>
  <si>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</si>
  <si>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</si>
  <si>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</si>
  <si>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</si>
  <si>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</si>
  <si>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</si>
  <si>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</si>
  <si>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</si>
  <si>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</si>
  <si>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</si>
  <si>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</si>
  <si>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</si>
  <si>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</si>
  <si>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</si>
  <si>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</si>
  <si>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</si>
  <si>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</si>
  <si>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</si>
  <si>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</si>
  <si>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</si>
  <si>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</si>
  <si>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</si>
  <si>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</si>
  <si>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</si>
  <si>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</si>
  <si>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</si>
  <si>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</si>
  <si>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</si>
  <si>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</si>
  <si>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</si>
  <si>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</si>
  <si>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</si>
  <si>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</si>
  <si>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</si>
  <si>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</si>
  <si>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</si>
  <si>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</si>
  <si>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</si>
  <si>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</si>
  <si>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</si>
  <si>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</si>
  <si>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</si>
  <si>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</si>
  <si>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</si>
  <si>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</si>
  <si>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</si>
  <si>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</si>
  <si>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</si>
  <si>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</si>
  <si>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</si>
  <si>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</si>
  <si>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</si>
  <si>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</si>
  <si>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</si>
  <si>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</si>
  <si>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</si>
  <si>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</si>
  <si>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</si>
  <si>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</si>
  <si>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</si>
  <si>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</si>
  <si>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</si>
  <si>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</si>
  <si>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</si>
  <si>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</si>
  <si>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</si>
  <si>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</si>
  <si>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</si>
  <si>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</si>
  <si>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</si>
  <si>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</si>
  <si>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</si>
  <si>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</si>
  <si>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</si>
  <si>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</si>
  <si>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</si>
  <si>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</si>
  <si>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</si>
  <si>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</si>
  <si>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</si>
  <si>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</si>
  <si>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</si>
  <si>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</si>
  <si>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</si>
  <si>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</si>
  <si>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</si>
  <si>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</si>
  <si>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</si>
  <si>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</si>
  <si>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</si>
  <si>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</si>
  <si>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</si>
  <si>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</si>
  <si>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</si>
  <si>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</si>
  <si>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</si>
  <si>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</si>
  <si>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</si>
  <si>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</si>
  <si>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</si>
  <si>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</si>
  <si>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</si>
  <si>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</si>
  <si>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</si>
  <si>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</si>
  <si>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</si>
  <si>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</si>
  <si>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</si>
  <si>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</si>
  <si>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</si>
  <si>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</si>
  <si>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</si>
  <si>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</si>
  <si>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</si>
  <si>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</si>
  <si>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</si>
  <si>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</si>
  <si>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</si>
  <si>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</si>
  <si>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</si>
  <si>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</si>
  <si>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</si>
  <si>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</si>
  <si>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</si>
  <si>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</si>
  <si>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</si>
  <si>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</si>
  <si>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</si>
  <si>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</si>
  <si>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</si>
  <si>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</si>
  <si>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</si>
  <si>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</si>
  <si>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</si>
  <si>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</si>
  <si>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</si>
  <si>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</si>
  <si>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</si>
  <si>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</si>
  <si>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</si>
  <si>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</si>
  <si>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</si>
  <si>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</si>
  <si>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</si>
  <si>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</si>
  <si>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</si>
  <si>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</si>
  <si>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</si>
  <si>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</si>
  <si>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</si>
  <si>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</si>
  <si>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</si>
  <si>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</si>
  <si>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</si>
  <si>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</si>
  <si>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</si>
  <si>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</si>
  <si>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</si>
  <si>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</si>
  <si>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</si>
  <si>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</si>
  <si>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</si>
  <si>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</si>
  <si>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</si>
  <si>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</si>
  <si>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</si>
  <si>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</si>
  <si>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</si>
  <si>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</si>
  <si>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</si>
  <si>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</si>
  <si>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</si>
  <si>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</si>
  <si>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</si>
  <si>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</si>
  <si>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</si>
  <si>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</si>
  <si>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</si>
  <si>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</si>
  <si>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</si>
  <si>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</si>
  <si>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</si>
  <si>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</si>
  <si>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</si>
  <si>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</si>
  <si>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</si>
  <si>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</si>
  <si>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</si>
  <si>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</si>
  <si>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</si>
  <si>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</si>
  <si>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</si>
  <si>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</si>
  <si>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</si>
  <si>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</si>
  <si>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</si>
  <si>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</si>
  <si>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</si>
  <si>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</si>
  <si>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</si>
  <si>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</si>
  <si>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</si>
  <si>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</si>
  <si>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</si>
  <si>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</si>
  <si>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</si>
  <si>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</si>
  <si>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</si>
  <si>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</si>
  <si>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</si>
  <si>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</si>
  <si>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</si>
  <si>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</si>
  <si>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</si>
  <si>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</si>
  <si>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</si>
  <si>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</si>
  <si>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</si>
  <si>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</si>
  <si>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</si>
  <si>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</si>
  <si>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</si>
  <si>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</si>
  <si>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</si>
  <si>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</si>
  <si>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</si>
  <si>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</si>
  <si>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</si>
  <si>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</si>
  <si>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</si>
  <si>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</si>
  <si>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</si>
  <si>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</si>
  <si>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</si>
  <si>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</si>
  <si>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</si>
  <si>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</si>
  <si>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</si>
  <si>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</si>
  <si>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</si>
  <si>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</si>
  <si>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</si>
  <si>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</si>
  <si>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</si>
  <si>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</si>
  <si>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</si>
  <si>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</si>
  <si>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</si>
  <si>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</si>
  <si>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</si>
  <si>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</si>
  <si>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</si>
  <si>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</si>
  <si>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</si>
  <si>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</si>
  <si>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</si>
  <si>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</si>
  <si>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</si>
  <si>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</si>
  <si>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</si>
  <si>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</si>
  <si>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</si>
  <si>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</si>
  <si>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</si>
  <si>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</si>
  <si>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</si>
  <si>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</si>
  <si>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</si>
  <si>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</si>
  <si>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</si>
  <si>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</si>
  <si>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</si>
  <si>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</si>
  <si>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</si>
  <si>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</si>
  <si>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</si>
  <si>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</si>
  <si>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</si>
  <si>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</si>
  <si>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</si>
  <si>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</si>
  <si>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</si>
  <si>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</si>
  <si>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</si>
  <si>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</si>
  <si>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</si>
  <si>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</si>
  <si>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</si>
  <si>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</si>
  <si>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</si>
  <si>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</si>
  <si>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</si>
  <si>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</si>
  <si>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</si>
  <si>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</si>
  <si>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</si>
  <si>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</si>
  <si>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</si>
  <si>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</si>
  <si>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</si>
  <si>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</si>
  <si>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</si>
  <si>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</si>
  <si>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</si>
  <si>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</si>
  <si>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</si>
  <si>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</si>
  <si>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</si>
  <si>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</si>
  <si>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</si>
  <si>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</si>
  <si>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</si>
  <si>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</si>
  <si>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</si>
  <si>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</si>
  <si>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</si>
  <si>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</si>
  <si>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</si>
  <si>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</si>
  <si>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</si>
  <si>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</si>
  <si>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</si>
  <si>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</si>
  <si>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</si>
  <si>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</si>
  <si>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</si>
  <si>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</si>
  <si>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</si>
  <si>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</si>
  <si>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</si>
  <si>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</si>
  <si>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</si>
  <si>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</si>
  <si>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</si>
  <si>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</si>
  <si>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</si>
  <si>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</si>
  <si>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</si>
  <si>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</si>
  <si>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</si>
  <si>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</si>
  <si>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</si>
  <si>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</si>
  <si>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</si>
  <si>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</si>
  <si>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</si>
  <si>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</si>
  <si>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</si>
  <si>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</si>
  <si>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</si>
  <si>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</si>
  <si>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</si>
  <si>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</si>
  <si>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</si>
  <si>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</si>
  <si>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</si>
  <si>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</si>
  <si>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</si>
  <si>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</si>
  <si>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</si>
  <si>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</si>
  <si>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</si>
  <si>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</si>
  <si>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</si>
  <si>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</si>
  <si>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</si>
  <si>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</si>
  <si>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</si>
  <si>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</si>
  <si>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</si>
  <si>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</si>
  <si>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</si>
  <si>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</si>
  <si>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</si>
  <si>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</si>
  <si>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</si>
  <si>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</si>
  <si>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</si>
  <si>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</si>
  <si>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</si>
  <si>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</si>
  <si>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</si>
  <si>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</si>
  <si>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</si>
  <si>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</si>
  <si>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</si>
  <si>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</si>
  <si>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</si>
  <si>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</si>
  <si>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</si>
  <si>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</si>
  <si>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</si>
  <si>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</si>
  <si>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</si>
  <si>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</si>
  <si>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</si>
  <si>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</si>
  <si>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</si>
  <si>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</si>
  <si>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</si>
  <si>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</si>
  <si>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</si>
  <si>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</si>
  <si>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</si>
  <si>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</si>
  <si>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</si>
  <si>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</si>
  <si>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</si>
  <si>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</si>
  <si>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</si>
  <si>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</si>
  <si>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</si>
  <si>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</si>
  <si>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</si>
  <si>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</si>
  <si>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</si>
  <si>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</si>
  <si>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</si>
  <si>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</si>
  <si>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</si>
  <si>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</si>
  <si>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</si>
  <si>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</si>
  <si>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</si>
  <si>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</si>
  <si>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</si>
  <si>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</si>
  <si>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</si>
  <si>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</si>
  <si>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</si>
  <si>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</si>
  <si>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</si>
  <si>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</si>
  <si>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</si>
  <si>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</si>
  <si>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</si>
  <si>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</si>
  <si>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</si>
  <si>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</si>
  <si>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</si>
  <si>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</si>
  <si>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</si>
  <si>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</si>
  <si>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</si>
  <si>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</si>
  <si>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</si>
  <si>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</si>
  <si>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</si>
  <si>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</si>
  <si>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</si>
  <si>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</si>
  <si>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</si>
  <si>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</si>
  <si>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</si>
  <si>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</si>
  <si>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</si>
  <si>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</si>
  <si>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</si>
  <si>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</si>
  <si>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</si>
  <si>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</si>
  <si>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</si>
  <si>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</si>
  <si>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</si>
  <si>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</si>
  <si>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</si>
  <si>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</si>
  <si>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</si>
  <si>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</si>
  <si>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</si>
  <si>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</si>
  <si>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</si>
  <si>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</si>
  <si>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</si>
  <si>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</si>
  <si>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</si>
  <si>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</si>
  <si>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</si>
  <si>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</si>
  <si>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</si>
  <si>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</si>
  <si>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</si>
  <si>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</si>
  <si>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</si>
  <si>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</si>
  <si>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</si>
  <si>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</si>
  <si>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</si>
  <si>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</si>
  <si>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</si>
  <si>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</si>
  <si>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</si>
  <si>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</si>
  <si>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</si>
  <si>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</si>
  <si>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</si>
  <si>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</si>
  <si>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</si>
  <si>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</si>
  <si>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</si>
  <si>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</si>
  <si>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</si>
  <si>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</si>
  <si>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</si>
  <si>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</si>
  <si>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</si>
  <si>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</si>
  <si>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</si>
  <si>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</si>
  <si>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</si>
  <si>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</si>
  <si>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</si>
  <si>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</si>
  <si>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</si>
  <si>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</si>
  <si>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</si>
  <si>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</si>
  <si>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</si>
  <si>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</si>
  <si>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</si>
  <si>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</si>
  <si>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</si>
  <si>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</si>
  <si>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</si>
  <si>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</si>
  <si>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</si>
  <si>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</si>
  <si>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</si>
  <si>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</si>
  <si>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</si>
  <si>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</si>
  <si>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</si>
  <si>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</si>
  <si>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</si>
  <si>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</si>
  <si>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</si>
  <si>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</si>
  <si>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</si>
  <si>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</si>
  <si>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</si>
  <si>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</si>
  <si>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</si>
  <si>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</si>
  <si>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</si>
  <si>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</si>
  <si>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</si>
  <si>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</si>
  <si>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</si>
  <si>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</si>
  <si>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</si>
  <si>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</si>
  <si>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</si>
  <si>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</si>
  <si>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</si>
  <si>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</si>
  <si>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</si>
  <si>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</si>
  <si>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</si>
  <si>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</si>
  <si>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</si>
  <si>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</si>
  <si>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</si>
  <si>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</si>
  <si>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</si>
  <si>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</si>
  <si>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</si>
  <si>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</si>
  <si>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</si>
  <si>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</si>
  <si>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</si>
  <si>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</si>
  <si>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</si>
  <si>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</si>
  <si>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</si>
  <si>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</si>
  <si>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</si>
  <si>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</si>
  <si>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</si>
  <si>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</si>
  <si>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</si>
  <si>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</si>
  <si>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</si>
  <si>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</si>
  <si>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</si>
  <si>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</si>
  <si>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</si>
  <si>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</si>
  <si>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</si>
  <si>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</si>
  <si>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</si>
  <si>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</si>
  <si>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</si>
  <si>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</si>
  <si>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</si>
  <si>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</si>
  <si>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</si>
  <si>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</si>
  <si>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</si>
  <si>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</si>
  <si>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</si>
  <si>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</si>
  <si>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</si>
  <si>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</si>
  <si>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</si>
  <si>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</si>
  <si>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</si>
  <si>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</si>
  <si>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</si>
  <si>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</si>
  <si>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</si>
  <si>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</si>
  <si>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</si>
  <si>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</si>
  <si>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</si>
  <si>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</si>
  <si>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</si>
  <si>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</si>
  <si>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</si>
  <si>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</si>
  <si>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</si>
  <si>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</si>
  <si>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</si>
  <si>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</si>
  <si>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</si>
  <si>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</si>
  <si>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</si>
  <si>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</si>
  <si>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</si>
  <si>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</si>
  <si>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</si>
  <si>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</si>
  <si>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</si>
  <si>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</si>
  <si>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</si>
  <si>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</si>
  <si>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</si>
  <si>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</si>
  <si>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</si>
  <si>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</si>
  <si>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</si>
  <si>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</si>
  <si>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</si>
  <si>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</si>
  <si>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</si>
  <si>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</si>
  <si>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</si>
  <si>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</si>
  <si>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</si>
  <si>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</si>
  <si>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</si>
  <si>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</si>
  <si>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</si>
  <si>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</si>
  <si>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</si>
  <si>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</si>
  <si>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</si>
  <si>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</si>
  <si>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</si>
  <si>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</si>
  <si>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</si>
  <si>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</si>
  <si>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</si>
  <si>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</si>
  <si>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</si>
  <si>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</si>
  <si>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</si>
  <si>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</si>
  <si>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</si>
  <si>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</si>
  <si>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</si>
  <si>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</si>
  <si>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</si>
  <si>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</si>
  <si>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</si>
  <si>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</si>
  <si>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</si>
  <si>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</si>
  <si>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</si>
  <si>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</si>
  <si>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</si>
  <si>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</si>
  <si>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</si>
  <si>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</si>
  <si>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</si>
  <si>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</si>
  <si>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</si>
  <si>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</si>
  <si>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</si>
  <si>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</si>
  <si>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</si>
  <si>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</si>
  <si>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</si>
  <si>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</si>
  <si>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</si>
  <si>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</si>
  <si>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</si>
  <si>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</si>
  <si>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</si>
  <si>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</si>
  <si>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</si>
  <si>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</si>
  <si>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</si>
  <si>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</si>
  <si>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</si>
  <si>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</si>
  <si>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</si>
  <si>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</si>
  <si>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</si>
  <si>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</si>
  <si>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</si>
  <si>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</si>
  <si>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</si>
  <si>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</si>
  <si>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</si>
  <si>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</si>
  <si>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</si>
  <si>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</si>
  <si>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</si>
  <si>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</si>
  <si>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</si>
  <si>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</si>
  <si>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</si>
  <si>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</si>
  <si>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</si>
  <si>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</si>
  <si>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</si>
  <si>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</si>
  <si>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</si>
  <si>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</si>
  <si>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</si>
  <si>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</si>
  <si>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</si>
  <si>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</si>
  <si>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</si>
  <si>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</si>
  <si>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</si>
  <si>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</si>
  <si>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</si>
  <si>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</si>
  <si>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</si>
  <si>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</si>
  <si>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</si>
  <si>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</si>
  <si>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</si>
  <si>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</si>
  <si>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</si>
  <si>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</si>
  <si>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</si>
  <si>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</si>
  <si>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</si>
  <si>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</si>
  <si>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</si>
  <si>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</si>
  <si>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</si>
  <si>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</si>
  <si>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</si>
  <si>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</si>
  <si>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</si>
  <si>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</si>
  <si>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</si>
  <si>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</si>
  <si>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</si>
  <si>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</si>
  <si>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</si>
  <si>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</si>
  <si>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</si>
  <si>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</si>
  <si>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</si>
  <si>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</si>
  <si>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</si>
  <si>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</si>
  <si>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</si>
  <si>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</si>
  <si>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</si>
  <si>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</si>
  <si>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</si>
  <si>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</si>
  <si>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</si>
  <si>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</si>
  <si>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</si>
  <si>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</si>
  <si>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</si>
  <si>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</si>
  <si>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</si>
  <si>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</si>
  <si>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</si>
  <si>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</si>
  <si>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</si>
  <si>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</si>
  <si>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</si>
  <si>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</si>
  <si>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</si>
  <si>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</si>
  <si>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</si>
  <si>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</si>
  <si>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</si>
  <si>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</si>
  <si>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</si>
  <si>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</si>
  <si>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</si>
  <si>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</si>
  <si>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</si>
  <si>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</si>
  <si>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</si>
  <si>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</si>
  <si>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</si>
  <si>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</si>
  <si>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</si>
  <si>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</si>
  <si>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</si>
  <si>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</si>
  <si>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</si>
  <si>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</si>
  <si>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</si>
  <si>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</si>
  <si>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</si>
  <si>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</si>
  <si>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</si>
  <si>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</si>
  <si>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</si>
  <si>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</si>
  <si>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</si>
  <si>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</si>
  <si>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</si>
  <si>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</si>
  <si>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</si>
  <si>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</si>
  <si>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</si>
  <si>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</si>
  <si>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</si>
  <si>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</si>
  <si>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</si>
  <si>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</si>
  <si>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</si>
  <si>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</si>
  <si>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</si>
  <si>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</si>
  <si>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</si>
  <si>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</si>
  <si>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</si>
  <si>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</si>
  <si>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</si>
  <si>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</si>
  <si>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</si>
  <si>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</si>
  <si>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</si>
  <si>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</si>
  <si>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</si>
  <si>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</si>
  <si>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</si>
  <si>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</si>
  <si>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</si>
  <si>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</si>
  <si>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</si>
  <si>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</si>
  <si>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</si>
  <si>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</si>
  <si>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</si>
  <si>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</si>
  <si>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</si>
  <si>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</si>
  <si>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</si>
  <si>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</si>
  <si>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</si>
  <si>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</si>
  <si>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</si>
  <si>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</si>
  <si>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</si>
  <si>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</si>
  <si>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</si>
  <si>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</si>
  <si>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</si>
  <si>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</si>
  <si>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</si>
  <si>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</si>
  <si>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</si>
  <si>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</si>
  <si>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</si>
  <si>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</si>
  <si>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</si>
  <si>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</si>
  <si>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</si>
  <si>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</si>
  <si>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</si>
  <si>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</si>
  <si>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</si>
  <si>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</si>
  <si>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</si>
  <si>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</si>
  <si>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</si>
  <si>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</si>
  <si>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</si>
  <si>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</si>
  <si>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</si>
  <si>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</si>
  <si>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</si>
  <si>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</si>
  <si>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</si>
  <si>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</si>
  <si>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</si>
  <si>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</si>
  <si>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</si>
  <si>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</si>
  <si>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</si>
  <si>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</si>
  <si>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</si>
  <si>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</si>
  <si>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</si>
  <si>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</si>
  <si>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</si>
  <si>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</si>
  <si>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</si>
  <si>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</si>
  <si>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</si>
  <si>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</si>
  <si>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</si>
  <si>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</si>
  <si>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</si>
  <si>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</si>
  <si>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</si>
  <si>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</si>
  <si>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</si>
  <si>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</si>
  <si>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</si>
  <si>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</si>
  <si>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</si>
  <si>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</si>
  <si>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</si>
  <si>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</si>
  <si>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</si>
  <si>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</si>
  <si>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</si>
  <si>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</si>
  <si>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</si>
  <si>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</si>
  <si>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</si>
  <si>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</si>
  <si>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</si>
  <si>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</si>
  <si>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</si>
  <si>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</si>
  <si>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</si>
  <si>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</si>
  <si>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</si>
  <si>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</si>
  <si>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</si>
  <si>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</si>
  <si>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</si>
  <si>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</si>
  <si>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</si>
  <si>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</si>
  <si>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</si>
  <si>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</si>
  <si>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</si>
  <si>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</si>
  <si>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</si>
  <si>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</si>
  <si>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</si>
  <si>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</si>
  <si>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</si>
  <si>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</si>
  <si>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</si>
  <si>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</si>
  <si>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</si>
  <si>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</si>
  <si>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</si>
  <si>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</si>
  <si>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</si>
  <si>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</si>
  <si>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</si>
  <si>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</si>
  <si>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</si>
  <si>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</si>
  <si>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</si>
  <si>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</si>
  <si>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</si>
  <si>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</si>
  <si>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</si>
  <si>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</si>
  <si>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</si>
  <si>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</si>
  <si>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</si>
  <si>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</si>
  <si>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</si>
  <si>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</si>
  <si>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</si>
  <si>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</si>
  <si>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</si>
  <si>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</si>
  <si>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</si>
  <si>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</si>
  <si>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</si>
  <si>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</si>
  <si>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</si>
  <si>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</si>
  <si>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</si>
  <si>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</si>
  <si>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</si>
  <si>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</si>
  <si>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</si>
  <si>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</si>
  <si>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</si>
  <si>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</si>
  <si>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</si>
  <si>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</si>
  <si>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</si>
  <si>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</si>
  <si>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</si>
  <si>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</si>
  <si>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</si>
  <si>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</si>
  <si>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</si>
  <si>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</si>
  <si>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</si>
  <si>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</si>
  <si>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</si>
  <si>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</si>
  <si>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</si>
  <si>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</si>
  <si>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</si>
  <si>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</si>
  <si>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</si>
  <si>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</si>
  <si>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</si>
  <si>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</si>
  <si>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</si>
  <si>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</si>
  <si>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</si>
  <si>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</si>
  <si>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</si>
  <si>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</si>
  <si>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</si>
  <si>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</si>
  <si>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</si>
  <si>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</si>
  <si>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</si>
  <si>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</si>
  <si>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</si>
  <si>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</si>
  <si>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</si>
  <si>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</si>
  <si>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</si>
  <si>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</si>
  <si>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</si>
  <si>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</si>
  <si>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</si>
  <si>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</si>
  <si>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</si>
  <si>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</si>
  <si>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</si>
  <si>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</si>
  <si>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</si>
  <si>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</si>
  <si>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</si>
  <si>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</si>
  <si>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</si>
  <si>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</si>
  <si>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</si>
  <si>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</si>
  <si>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</si>
  <si>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</si>
  <si>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</si>
  <si>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</si>
  <si>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</si>
  <si>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</si>
  <si>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</si>
  <si>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</si>
  <si>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</si>
  <si>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</si>
  <si>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</si>
  <si>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</si>
  <si>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</si>
  <si>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</si>
  <si>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</si>
  <si>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</si>
  <si>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</si>
  <si>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</si>
  <si>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</si>
  <si>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</si>
  <si>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</si>
  <si>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</si>
  <si>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</si>
  <si>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</si>
  <si>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</si>
  <si>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</si>
  <si>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</si>
  <si>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</si>
  <si>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</si>
  <si>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</si>
  <si>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</si>
  <si>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</si>
  <si>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</si>
  <si>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</si>
  <si>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</si>
  <si>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</si>
  <si>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</si>
  <si>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</si>
  <si>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</si>
  <si>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</si>
  <si>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</si>
  <si>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</si>
  <si>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</si>
  <si>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</si>
  <si>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</si>
  <si>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</si>
  <si>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</si>
  <si>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</si>
  <si>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</si>
  <si>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</si>
  <si>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</si>
  <si>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</si>
  <si>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</si>
  <si>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</si>
  <si>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</si>
  <si>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</si>
  <si>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</si>
  <si>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</si>
  <si>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</si>
  <si>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</si>
  <si>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</si>
  <si>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</si>
  <si>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</si>
  <si>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</si>
  <si>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</si>
  <si>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</si>
  <si>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</si>
  <si>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</si>
  <si>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</si>
  <si>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</si>
  <si>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</si>
  <si>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</si>
  <si>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</si>
  <si>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</si>
  <si>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</si>
  <si>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</si>
  <si>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</si>
  <si>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</si>
  <si>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</si>
  <si>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</si>
  <si>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</si>
  <si>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</si>
  <si>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</si>
  <si>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</si>
  <si>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</si>
  <si>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</si>
  <si>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</si>
  <si>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</si>
  <si>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</si>
  <si>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</si>
  <si>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</si>
  <si>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</si>
  <si>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</si>
  <si>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</si>
  <si>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</si>
  <si>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</si>
  <si>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</si>
  <si>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</si>
  <si>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</si>
  <si>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</si>
  <si>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</si>
  <si>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</si>
  <si>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</si>
  <si>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</si>
  <si>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</si>
  <si>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</si>
  <si>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</si>
  <si>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</si>
  <si>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</si>
  <si>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</si>
  <si>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</si>
  <si>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</si>
  <si>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</si>
  <si>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</si>
  <si>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</si>
  <si>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</si>
  <si>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</si>
  <si>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</si>
  <si>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</si>
  <si>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</si>
  <si>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</si>
  <si>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</si>
  <si>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</si>
  <si>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</si>
  <si>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</si>
  <si>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</si>
  <si>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</si>
  <si>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</si>
  <si>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</si>
  <si>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</si>
  <si>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</si>
  <si>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</si>
  <si>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</si>
  <si>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</si>
  <si>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</si>
  <si>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</si>
  <si>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</si>
  <si>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</si>
  <si>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</si>
  <si>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</si>
  <si>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</si>
  <si>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</si>
  <si>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</si>
  <si>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</si>
  <si>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</si>
  <si>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</si>
  <si>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</si>
  <si>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</si>
  <si>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</si>
  <si>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</si>
  <si>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</si>
  <si>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</si>
  <si>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</si>
  <si>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</si>
  <si>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</si>
  <si>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</si>
  <si>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</si>
  <si>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</si>
  <si>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</si>
  <si>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</si>
  <si>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</si>
  <si>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</si>
  <si>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</si>
  <si>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</si>
  <si>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</si>
  <si>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</si>
  <si>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</si>
  <si>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</si>
  <si>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</si>
  <si>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</si>
  <si>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</si>
  <si>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</si>
  <si>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</si>
  <si>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</si>
  <si>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</si>
  <si>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</si>
  <si>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</si>
  <si>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</si>
  <si>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</si>
  <si>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</si>
  <si>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</si>
  <si>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</si>
  <si>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</si>
  <si>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</si>
  <si>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</si>
  <si>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</si>
  <si>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</si>
  <si>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</si>
  <si>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</si>
  <si>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</si>
  <si>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</si>
  <si>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</si>
  <si>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</si>
  <si>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</si>
  <si>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</si>
  <si>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</si>
  <si>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</si>
  <si>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</si>
  <si>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</si>
  <si>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</si>
  <si>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</si>
  <si>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</si>
  <si>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</si>
  <si>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</si>
  <si>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</si>
  <si>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</si>
  <si>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</si>
  <si>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</si>
  <si>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</si>
  <si>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</si>
  <si>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</si>
  <si>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</si>
  <si>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</si>
  <si>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</si>
  <si>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</si>
  <si>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</si>
  <si>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</si>
  <si>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</si>
  <si>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</si>
  <si>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</si>
  <si>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</si>
  <si>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</si>
  <si>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</si>
  <si>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</si>
  <si>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</si>
  <si>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</si>
  <si>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</si>
  <si>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</si>
  <si>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</si>
  <si>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</si>
  <si>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</si>
  <si>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</si>
  <si>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</si>
  <si>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</si>
  <si>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</si>
  <si>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</si>
  <si>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</si>
  <si>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</si>
  <si>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</si>
  <si>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</si>
  <si>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</si>
  <si>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</si>
  <si>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</si>
  <si>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</si>
  <si>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</si>
  <si>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</si>
  <si>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</si>
  <si>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</si>
  <si>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</si>
  <si>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</si>
  <si>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</si>
  <si>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</si>
  <si>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</si>
  <si>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</si>
  <si>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</si>
  <si>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</si>
  <si>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</si>
  <si>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</si>
  <si>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</si>
  <si>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</si>
  <si>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</si>
  <si>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</si>
  <si>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</si>
  <si>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</si>
  <si>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</si>
  <si>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</si>
  <si>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</si>
  <si>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</si>
  <si>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</si>
  <si>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</si>
  <si>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</si>
  <si>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</si>
  <si>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</si>
  <si>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</si>
  <si>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</si>
  <si>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</si>
  <si>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</si>
  <si>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</si>
  <si>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</si>
  <si>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</si>
  <si>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</si>
  <si>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</si>
  <si>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</si>
  <si>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</si>
  <si>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</si>
  <si>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</si>
  <si>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</si>
  <si>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</si>
  <si>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</si>
  <si>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</si>
  <si>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</si>
  <si>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</si>
  <si>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</si>
  <si>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</si>
  <si>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</si>
  <si>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</si>
  <si>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</si>
  <si>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</si>
  <si>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</si>
  <si>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</si>
  <si>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</si>
  <si>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</si>
  <si>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</si>
  <si>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</si>
  <si>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</si>
  <si>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</si>
  <si>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</si>
  <si>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</si>
  <si>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</si>
  <si>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</si>
  <si>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</si>
  <si>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</si>
  <si>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</si>
  <si>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</si>
  <si>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</si>
  <si>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</si>
  <si>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</si>
  <si>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</si>
  <si>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</si>
  <si>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</si>
  <si>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</si>
  <si>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</si>
  <si>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</si>
  <si>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</si>
  <si>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</si>
  <si>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</si>
  <si>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</si>
  <si>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</si>
  <si>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</si>
  <si>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</si>
  <si>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</si>
  <si>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</si>
  <si>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</si>
  <si>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</si>
  <si>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</si>
  <si>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</si>
  <si>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</si>
  <si>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</si>
  <si>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</si>
  <si>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</si>
  <si>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</si>
  <si>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</si>
  <si>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</si>
  <si>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</si>
  <si>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</si>
  <si>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</si>
  <si>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</si>
  <si>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</si>
  <si>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</si>
  <si>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</si>
  <si>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</si>
  <si>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</si>
  <si>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</si>
  <si>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</si>
  <si>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</si>
  <si>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</si>
  <si>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</si>
  <si>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</si>
  <si>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</si>
  <si>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</si>
  <si>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</si>
  <si>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</si>
  <si>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</si>
  <si>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</si>
  <si>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</si>
  <si>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</si>
  <si>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</si>
  <si>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</si>
  <si>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</si>
  <si>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</si>
  <si>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</si>
  <si>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</si>
  <si>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</si>
  <si>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</si>
  <si>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</si>
  <si>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</si>
  <si>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</si>
  <si>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</si>
  <si>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</si>
  <si>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</si>
  <si>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</si>
  <si>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</si>
  <si>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</si>
  <si>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</si>
  <si>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</si>
  <si>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</si>
  <si>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</si>
  <si>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</si>
  <si>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</si>
  <si>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</si>
  <si>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</si>
  <si>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</si>
  <si>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</si>
  <si>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</si>
  <si>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</si>
  <si>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</si>
  <si>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</si>
  <si>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</si>
  <si>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</si>
  <si>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</si>
  <si>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</si>
  <si>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</si>
  <si>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</si>
  <si>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</si>
  <si>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</si>
  <si>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</si>
  <si>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</si>
  <si>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</si>
  <si>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</si>
  <si>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</si>
  <si>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</si>
  <si>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</si>
  <si>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</si>
  <si>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</si>
  <si>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</si>
  <si>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</si>
  <si>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</si>
  <si>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</si>
  <si>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</si>
  <si>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</si>
  <si>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</si>
  <si>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</si>
  <si>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</si>
  <si>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</si>
  <si>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</si>
  <si>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</si>
  <si>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</si>
  <si>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</si>
  <si>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</si>
  <si>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</si>
  <si>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</si>
  <si>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</si>
  <si>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</si>
  <si>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</si>
  <si>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</si>
  <si>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</si>
  <si>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</si>
  <si>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</si>
  <si>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</si>
  <si>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</si>
  <si>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</si>
  <si>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</si>
  <si>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</si>
  <si>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</si>
  <si>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</si>
  <si>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</si>
  <si>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</si>
  <si>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</si>
  <si>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</si>
  <si>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</si>
  <si>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</si>
  <si>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</si>
  <si>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</si>
  <si>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</si>
  <si>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</si>
  <si>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</si>
  <si>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</si>
  <si>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</si>
  <si>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</si>
  <si>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</si>
  <si>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</si>
  <si>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</si>
  <si>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</si>
  <si>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</si>
  <si>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</si>
  <si>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</si>
  <si>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</si>
  <si>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</si>
  <si>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</si>
  <si>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</si>
  <si>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</si>
  <si>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</si>
  <si>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</si>
  <si>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</si>
  <si>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</si>
  <si>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</si>
  <si>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</si>
  <si>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</si>
  <si>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</si>
  <si>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</si>
  <si>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</si>
  <si>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</si>
  <si>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</si>
  <si>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</si>
  <si>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</si>
  <si>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</si>
  <si>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</si>
  <si>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</si>
  <si>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</si>
  <si>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</si>
  <si>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</si>
  <si>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</si>
  <si>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</si>
  <si>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</si>
  <si>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</si>
  <si>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</si>
  <si>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</si>
  <si>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</si>
  <si>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</si>
  <si>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</si>
  <si>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</si>
  <si>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</si>
  <si>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</si>
  <si>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</si>
  <si>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</si>
  <si>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</si>
  <si>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</si>
  <si>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</si>
  <si>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</si>
  <si>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</si>
  <si>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</si>
  <si>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</si>
  <si>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</si>
  <si>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</si>
  <si>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</si>
  <si>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</si>
  <si>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</si>
  <si>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</si>
  <si>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</si>
  <si>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</si>
  <si>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</si>
  <si>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</si>
  <si>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</si>
  <si>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</si>
  <si>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</si>
  <si>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</si>
  <si>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</si>
  <si>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</si>
  <si>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</si>
  <si>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</si>
  <si>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</si>
  <si>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</si>
  <si>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</si>
  <si>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</si>
  <si>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</si>
  <si>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</si>
  <si>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</si>
  <si>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</si>
  <si>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</si>
  <si>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</si>
  <si>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</si>
  <si>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</si>
  <si>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</si>
  <si>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</si>
  <si>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</si>
  <si>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</si>
  <si>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</si>
  <si>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</si>
  <si>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</si>
  <si>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</si>
  <si>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</si>
  <si>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</si>
  <si>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</si>
  <si>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</si>
  <si>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</si>
  <si>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</si>
  <si>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</si>
  <si>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</si>
  <si>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</si>
  <si>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</si>
  <si>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</si>
  <si>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</si>
  <si>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</si>
  <si>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</si>
  <si>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</si>
  <si>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</si>
  <si>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</si>
  <si>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</si>
  <si>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</si>
  <si>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</si>
  <si>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</si>
  <si>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</si>
  <si>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</si>
  <si>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</si>
  <si>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</si>
  <si>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</si>
  <si>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</si>
  <si>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</si>
  <si>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</si>
  <si>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</si>
  <si>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</si>
  <si>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</si>
  <si>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</si>
  <si>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</si>
  <si>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</si>
  <si>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</si>
  <si>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</si>
  <si>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</si>
  <si>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</si>
  <si>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</si>
  <si>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</si>
  <si>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</si>
  <si>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</si>
  <si>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</si>
  <si>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</si>
  <si>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</si>
  <si>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</si>
  <si>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</si>
  <si>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</si>
  <si>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</si>
  <si>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</si>
  <si>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</si>
  <si>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</si>
  <si>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</si>
  <si>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</si>
  <si>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</si>
  <si>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</si>
  <si>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</si>
  <si>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</si>
  <si>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</si>
  <si>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</si>
  <si>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</si>
  <si>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</si>
  <si>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</si>
  <si>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</si>
  <si>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</si>
  <si>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</si>
  <si>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</si>
  <si>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</si>
  <si>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</si>
  <si>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</si>
  <si>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</si>
  <si>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</si>
  <si>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</si>
  <si>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</si>
  <si>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</si>
  <si>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</si>
  <si>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</si>
  <si>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</si>
  <si>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</si>
  <si>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</si>
  <si>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</si>
  <si>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</si>
  <si>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</si>
  <si>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</si>
  <si>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</si>
  <si>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</si>
  <si>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</si>
  <si>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</si>
  <si>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</si>
  <si>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</si>
  <si>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</si>
  <si>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</si>
  <si>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</si>
  <si>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</si>
  <si>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</si>
  <si>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</si>
  <si>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</si>
  <si>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</si>
  <si>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</si>
  <si>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</si>
  <si>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</si>
  <si>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</si>
  <si>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</si>
  <si>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</si>
  <si>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</si>
  <si>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</si>
  <si>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</si>
  <si>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</si>
  <si>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</si>
  <si>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</si>
  <si>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</si>
  <si>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</si>
  <si>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</si>
  <si>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</si>
  <si>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</si>
  <si>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</si>
  <si>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</si>
  <si>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</si>
  <si>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</si>
  <si>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</si>
  <si>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</si>
  <si>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</si>
  <si>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</si>
  <si>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</si>
  <si>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</si>
  <si>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</si>
  <si>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</si>
  <si>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</si>
  <si>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</si>
  <si>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</si>
  <si>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</si>
  <si>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</si>
  <si>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</si>
  <si>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</si>
  <si>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</si>
  <si>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</si>
  <si>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</si>
  <si>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</si>
  <si>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</si>
  <si>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</si>
  <si>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</si>
  <si>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</si>
  <si>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</si>
  <si>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</si>
  <si>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</si>
  <si>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</si>
  <si>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</si>
  <si>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</si>
  <si>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</si>
  <si>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</si>
  <si>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</si>
  <si>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</si>
  <si>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</si>
  <si>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</si>
  <si>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</si>
  <si>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</si>
  <si>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</si>
  <si>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</si>
  <si>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</si>
  <si>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</si>
  <si>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</si>
  <si>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</si>
  <si>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</si>
  <si>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</si>
  <si>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</si>
  <si>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</si>
  <si>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</si>
  <si>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</si>
  <si>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</si>
  <si>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</si>
  <si>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</si>
  <si>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</si>
  <si>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</si>
  <si>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</si>
  <si>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</si>
  <si>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</si>
  <si>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</si>
  <si>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</si>
  <si>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</si>
  <si>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</si>
  <si>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</si>
  <si>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</si>
  <si>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</si>
  <si>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</si>
  <si>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</si>
  <si>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</si>
  <si>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</si>
  <si>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</si>
  <si>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</si>
  <si>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</si>
  <si>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</si>
  <si>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</si>
  <si>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</si>
  <si>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</si>
  <si>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</si>
  <si>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</si>
  <si>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</si>
  <si>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</si>
  <si>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</si>
  <si>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</si>
  <si>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</si>
  <si>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</si>
  <si>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</si>
  <si>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</si>
  <si>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</si>
  <si>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</si>
  <si>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</si>
  <si>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</si>
  <si>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</si>
  <si>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</si>
  <si>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</si>
  <si>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</si>
  <si>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</si>
  <si>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</si>
  <si>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</si>
  <si>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</si>
  <si>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</si>
  <si>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</si>
  <si>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</si>
  <si>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</si>
  <si>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</si>
  <si>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</si>
  <si>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</si>
  <si>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</si>
  <si>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</si>
  <si>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</si>
  <si>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</si>
  <si>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</si>
  <si>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</si>
  <si>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</si>
  <si>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</si>
  <si>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</si>
  <si>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</si>
  <si>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</si>
  <si>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</si>
  <si>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</si>
  <si>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</si>
  <si>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</si>
  <si>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</si>
  <si>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</si>
  <si>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</si>
  <si>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</si>
  <si>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</si>
  <si>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</si>
  <si>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</si>
  <si>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</si>
  <si>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</si>
  <si>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</si>
  <si>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</si>
  <si>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</si>
  <si>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</si>
  <si>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</si>
  <si>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</si>
  <si>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</si>
  <si>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</si>
  <si>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</si>
  <si>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</si>
  <si>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</si>
  <si>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</si>
  <si>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</si>
  <si>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</si>
  <si>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</si>
  <si>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</si>
  <si>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</si>
  <si>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</si>
  <si>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</si>
  <si>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</si>
  <si>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</si>
  <si>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</si>
  <si>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</si>
  <si>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</si>
  <si>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</si>
  <si>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</si>
  <si>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</si>
  <si>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</si>
  <si>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</si>
  <si>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</si>
  <si>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</si>
  <si>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</si>
  <si>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</si>
  <si>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</si>
  <si>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</si>
  <si>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</si>
  <si>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</si>
  <si>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</si>
  <si>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</si>
  <si>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</si>
  <si>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</si>
  <si>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</si>
  <si>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</si>
  <si>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</si>
  <si>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</si>
  <si>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</si>
  <si>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</si>
  <si>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</si>
  <si>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</si>
  <si>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</si>
  <si>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</si>
  <si>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</si>
  <si>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</si>
  <si>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</si>
  <si>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</si>
  <si>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</si>
  <si>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</si>
  <si>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</si>
  <si>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</si>
  <si>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</si>
  <si>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</si>
  <si>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</si>
  <si>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</si>
  <si>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</si>
  <si>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</si>
  <si>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</si>
  <si>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</si>
  <si>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</si>
  <si>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</si>
  <si>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</si>
  <si>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</si>
  <si>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</si>
  <si>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</si>
  <si>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</si>
  <si>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</si>
  <si>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</si>
  <si>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</si>
  <si>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</si>
  <si>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</si>
  <si>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</si>
  <si>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</si>
  <si>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</si>
  <si>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</si>
  <si>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</si>
  <si>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</si>
  <si>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</si>
  <si>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</si>
  <si>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</si>
  <si>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</si>
  <si>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</si>
  <si>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</si>
  <si>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</si>
  <si>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</si>
  <si>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</si>
  <si>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</si>
  <si>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</si>
  <si>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</si>
  <si>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</si>
  <si>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</si>
  <si>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</si>
  <si>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</si>
  <si>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</si>
  <si>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</si>
  <si>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</si>
  <si>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</si>
  <si>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</si>
  <si>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</si>
  <si>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</si>
  <si>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</si>
  <si>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</si>
  <si>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</si>
  <si>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</si>
  <si>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</si>
  <si>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</si>
  <si>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</si>
  <si>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</si>
  <si>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</si>
  <si>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</si>
  <si>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</si>
  <si>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</si>
  <si>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</si>
  <si>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</si>
  <si>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</si>
  <si>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</si>
  <si>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</si>
  <si>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</si>
  <si>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</si>
  <si>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</si>
  <si>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</si>
  <si>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</si>
  <si>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</si>
  <si>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</si>
  <si>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</si>
  <si>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</si>
  <si>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</si>
  <si>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</si>
  <si>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</si>
  <si>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</si>
  <si>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</si>
  <si>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</si>
  <si>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</si>
  <si>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</si>
  <si>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</si>
  <si>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</si>
  <si>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</si>
  <si>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</si>
  <si>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</si>
  <si>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</si>
  <si>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</si>
  <si>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</si>
  <si>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</si>
  <si>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</si>
  <si>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</si>
  <si>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</si>
  <si>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</si>
  <si>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</si>
  <si>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</si>
  <si>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</si>
  <si>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</si>
  <si>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</si>
  <si>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</si>
  <si>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</si>
  <si>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</si>
  <si>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</si>
  <si>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</si>
  <si>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</si>
  <si>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</si>
  <si>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</si>
  <si>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</si>
  <si>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</si>
  <si>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</si>
  <si>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</si>
  <si>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</si>
  <si>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</si>
  <si>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</si>
  <si>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</si>
  <si>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</si>
  <si>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</si>
  <si>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</si>
  <si>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</si>
  <si>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</si>
  <si>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</si>
  <si>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</si>
  <si>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</si>
  <si>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</si>
  <si>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</si>
  <si>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</si>
  <si>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</si>
  <si>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</si>
  <si>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</si>
  <si>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</si>
  <si>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</si>
  <si>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</si>
  <si>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</si>
  <si>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</si>
  <si>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</si>
  <si>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</si>
  <si>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</si>
  <si>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</si>
  <si>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</si>
  <si>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</si>
  <si>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</si>
  <si>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</si>
  <si>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</si>
  <si>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</si>
  <si>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</si>
  <si>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</si>
  <si>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</si>
  <si>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</si>
  <si>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</si>
  <si>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</si>
  <si>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</si>
  <si>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</si>
  <si>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</si>
  <si>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</si>
  <si>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</si>
  <si>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</si>
  <si>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</si>
  <si>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</si>
  <si>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</si>
  <si>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</si>
  <si>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</si>
  <si>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</si>
  <si>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</si>
  <si>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</si>
  <si>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</si>
  <si>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</si>
  <si>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</si>
  <si>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</si>
  <si>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</si>
  <si>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</si>
  <si>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</si>
  <si>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</si>
  <si>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</si>
  <si>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</si>
  <si>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</si>
  <si>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</si>
  <si>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</si>
  <si>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</si>
  <si>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</si>
  <si>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</si>
  <si>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</si>
  <si>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</si>
  <si>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</si>
  <si>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</si>
  <si>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</si>
  <si>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</si>
  <si>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</si>
  <si>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</si>
  <si>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</si>
  <si>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</si>
  <si>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</si>
  <si>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</si>
  <si>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</si>
  <si>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</si>
  <si>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</si>
  <si>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</si>
  <si>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</si>
  <si>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</si>
  <si>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</si>
  <si>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</si>
  <si>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</si>
  <si>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</si>
  <si>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</si>
  <si>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</si>
  <si>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</si>
  <si>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</si>
  <si>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</si>
  <si>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</si>
  <si>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</si>
  <si>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</si>
  <si>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</si>
  <si>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</si>
  <si>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</si>
  <si>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</si>
  <si>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</si>
  <si>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</si>
  <si>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</si>
  <si>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</si>
  <si>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</si>
  <si>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</si>
  <si>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</si>
  <si>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</si>
  <si>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</si>
  <si>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</si>
  <si>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</si>
  <si>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</si>
  <si>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</si>
  <si>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</si>
  <si>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</si>
  <si>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</si>
  <si>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</si>
  <si>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</si>
  <si>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</si>
  <si>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</si>
  <si>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</si>
  <si>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</si>
  <si>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</si>
  <si>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</si>
  <si>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</si>
  <si>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</si>
  <si>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</si>
  <si>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</si>
  <si>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</si>
  <si>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</si>
  <si>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</si>
  <si>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</si>
  <si>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</si>
  <si>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</si>
  <si>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</si>
  <si>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</si>
  <si>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</si>
  <si>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</si>
  <si>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</si>
  <si>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</si>
  <si>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</si>
  <si>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</si>
  <si>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</si>
  <si>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</si>
  <si>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</si>
  <si>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</si>
  <si>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</si>
  <si>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</si>
  <si>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</si>
  <si>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</si>
  <si>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</si>
  <si>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</si>
  <si>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</si>
  <si>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</si>
  <si>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</si>
  <si>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</si>
  <si>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</si>
  <si>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</si>
  <si>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</si>
  <si>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</si>
  <si>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</si>
  <si>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</si>
  <si>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</si>
  <si>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</si>
  <si>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</si>
  <si>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</si>
  <si>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</si>
  <si>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</si>
  <si>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</si>
  <si>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</si>
  <si>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</si>
  <si>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</si>
  <si>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</si>
  <si>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</si>
  <si>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</si>
  <si>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</si>
  <si>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</si>
  <si>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</si>
  <si>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</si>
  <si>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</si>
  <si>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</si>
  <si>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</si>
  <si>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</si>
  <si>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</si>
  <si>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</si>
  <si>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</si>
  <si>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</si>
  <si>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</si>
  <si>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</si>
  <si>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</si>
  <si>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</si>
  <si>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</si>
  <si>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</si>
  <si>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</si>
  <si>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</si>
  <si>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</si>
  <si>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</si>
  <si>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</si>
  <si>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</si>
  <si>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</si>
  <si>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</si>
  <si>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</si>
  <si>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</si>
  <si>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</si>
  <si>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</si>
  <si>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</si>
  <si>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</si>
  <si>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</si>
  <si>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</si>
  <si>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</si>
  <si>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</si>
  <si>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</si>
  <si>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</si>
  <si>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</si>
  <si>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</si>
  <si>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</si>
  <si>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</si>
  <si>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</si>
  <si>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</si>
  <si>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</si>
  <si>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</si>
  <si>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</si>
  <si>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</si>
  <si>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</si>
  <si>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</si>
  <si>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</si>
  <si>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</si>
  <si>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</si>
  <si>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</si>
  <si>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</si>
  <si>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</si>
  <si>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</si>
  <si>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</si>
  <si>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</si>
  <si>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</si>
  <si>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</si>
  <si>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</si>
  <si>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</si>
  <si>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</si>
  <si>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</si>
  <si>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</si>
  <si>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</si>
  <si>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</si>
  <si>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</si>
  <si>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</si>
  <si>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</si>
  <si>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</si>
  <si>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</si>
  <si>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</si>
  <si>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</si>
  <si>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</si>
  <si>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</si>
  <si>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</si>
  <si>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</si>
  <si>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</si>
  <si>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</si>
  <si>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</si>
  <si>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</si>
  <si>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</si>
  <si>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</si>
  <si>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</si>
  <si>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</si>
  <si>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</si>
  <si>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</si>
  <si>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</si>
  <si>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</si>
  <si>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</si>
  <si>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</si>
  <si>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</si>
  <si>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</si>
  <si>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</si>
  <si>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</si>
  <si>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</si>
  <si>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</si>
  <si>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</si>
  <si>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</si>
  <si>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</si>
  <si>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</si>
  <si>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</si>
  <si>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</si>
  <si>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</si>
  <si>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</si>
  <si>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</si>
  <si>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</si>
  <si>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</si>
  <si>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</si>
  <si>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</si>
  <si>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</si>
  <si>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</si>
  <si>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</si>
  <si>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</si>
  <si>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</si>
  <si>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</si>
  <si>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</si>
  <si>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</si>
  <si>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</si>
  <si>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</si>
  <si>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</si>
  <si>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</si>
  <si>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</si>
  <si>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</si>
  <si>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</si>
  <si>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</si>
  <si>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</si>
  <si>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</si>
  <si>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</si>
  <si>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</si>
  <si>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</si>
  <si>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</si>
  <si>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</si>
  <si>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</si>
  <si>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</si>
  <si>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</si>
  <si>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</si>
  <si>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</si>
  <si>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</si>
  <si>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</si>
  <si>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</si>
  <si>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</si>
  <si>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</si>
  <si>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</si>
  <si>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</si>
  <si>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</si>
  <si>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</si>
  <si>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</si>
  <si>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</si>
  <si>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</si>
  <si>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</si>
  <si>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</si>
  <si>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</si>
  <si>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</si>
  <si>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</si>
  <si>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</si>
  <si>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</si>
  <si>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</si>
  <si>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</si>
  <si>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</si>
  <si>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</si>
  <si>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</si>
  <si>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</si>
  <si>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</si>
  <si>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</si>
  <si>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</si>
  <si>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</si>
  <si>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</si>
  <si>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</si>
  <si>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</si>
  <si>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</si>
  <si>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</si>
  <si>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</si>
  <si>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</si>
  <si>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</si>
  <si>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</si>
  <si>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</si>
  <si>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</si>
  <si>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</si>
  <si>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</si>
  <si>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</si>
  <si>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</si>
  <si>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</si>
  <si>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</si>
  <si>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</si>
  <si>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</si>
  <si>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</si>
  <si>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</si>
  <si>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</si>
  <si>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</si>
  <si>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</si>
  <si>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</si>
  <si>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</si>
  <si>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</si>
  <si>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</si>
  <si>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</si>
  <si>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</si>
  <si>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</si>
  <si>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</si>
  <si>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</si>
  <si>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</si>
  <si>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</si>
  <si>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</si>
  <si>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</si>
  <si>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</si>
  <si>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</si>
  <si>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</si>
  <si>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</si>
  <si>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</si>
  <si>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</si>
  <si>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</si>
  <si>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</si>
  <si>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</si>
  <si>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</si>
  <si>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</si>
  <si>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</si>
  <si>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</si>
  <si>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</si>
  <si>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</si>
  <si>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</si>
  <si>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</si>
  <si>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</si>
  <si>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</si>
  <si>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</si>
  <si>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</si>
  <si>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</si>
  <si>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</si>
  <si>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</si>
  <si>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</si>
  <si>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</si>
  <si>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</si>
  <si>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</si>
  <si>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</si>
  <si>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</si>
  <si>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</si>
  <si>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</si>
  <si>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</si>
  <si>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</si>
  <si>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</si>
  <si>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</si>
  <si>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</si>
  <si>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</si>
  <si>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</si>
  <si>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</si>
  <si>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</si>
  <si>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</si>
  <si>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</si>
  <si>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</si>
  <si>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</si>
  <si>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</si>
  <si>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</si>
  <si>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</si>
  <si>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</si>
  <si>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</si>
  <si>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</si>
  <si>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</si>
  <si>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</si>
  <si>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</si>
  <si>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</si>
  <si>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</si>
  <si>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</si>
  <si>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</si>
  <si>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</si>
  <si>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</si>
  <si>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</si>
  <si>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</si>
  <si>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</si>
  <si>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</si>
  <si>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</si>
  <si>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</si>
  <si>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</si>
  <si>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</si>
  <si>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</si>
  <si>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</si>
  <si>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</si>
  <si>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</si>
  <si>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</si>
  <si>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</si>
  <si>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</si>
  <si>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</si>
  <si>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</si>
  <si>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</si>
  <si>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</si>
  <si>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</si>
  <si>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</si>
  <si>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</si>
  <si>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</si>
  <si>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</si>
  <si>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</si>
  <si>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</si>
  <si>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</si>
  <si>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</si>
  <si>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</si>
  <si>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</si>
  <si>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</si>
  <si>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</si>
  <si>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</si>
  <si>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</si>
  <si>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</si>
  <si>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</si>
  <si>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</si>
  <si>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</si>
  <si>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</si>
  <si>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</si>
  <si>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</si>
  <si>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</si>
  <si>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</si>
  <si>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</si>
  <si>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</si>
  <si>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</si>
  <si>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</si>
  <si>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</si>
  <si>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</si>
  <si>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</si>
  <si>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</si>
  <si>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</si>
  <si>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</si>
  <si>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</si>
  <si>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</si>
  <si>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</si>
  <si>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</si>
  <si>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</si>
  <si>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</si>
  <si>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</si>
  <si>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</si>
  <si>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</si>
  <si>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</si>
  <si>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</si>
  <si>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</si>
  <si>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</si>
  <si>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</si>
  <si>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</si>
  <si>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</si>
  <si>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</si>
  <si>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</si>
  <si>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</si>
  <si>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</si>
  <si>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</si>
  <si>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</si>
  <si>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</si>
  <si>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</si>
  <si>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</si>
  <si>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</si>
  <si>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</si>
  <si>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</si>
  <si>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</si>
  <si>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</si>
  <si>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</si>
  <si>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</si>
  <si>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</si>
  <si>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</si>
  <si>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</si>
  <si>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</si>
  <si>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</si>
  <si>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</si>
  <si>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</si>
  <si>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</si>
  <si>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</si>
  <si>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</si>
  <si>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</si>
  <si>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</si>
  <si>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</si>
  <si>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</si>
  <si>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</si>
  <si>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</si>
  <si>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</si>
  <si>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</si>
  <si>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</si>
  <si>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</si>
  <si>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</si>
  <si>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</si>
  <si>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</si>
  <si>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</si>
  <si>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</si>
  <si>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</si>
  <si>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</si>
  <si>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</si>
  <si>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</si>
  <si>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</si>
  <si>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</si>
  <si>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</si>
  <si>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</si>
  <si>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</si>
  <si>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</si>
  <si>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</si>
  <si>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</si>
  <si>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</si>
  <si>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</si>
  <si>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</si>
  <si>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</si>
  <si>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</si>
  <si>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</si>
  <si>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</si>
  <si>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</si>
  <si>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</si>
  <si>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</si>
  <si>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</si>
  <si>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</si>
  <si>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</si>
  <si>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</si>
  <si>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</si>
  <si>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</si>
  <si>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</si>
  <si>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</si>
  <si>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</si>
  <si>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</si>
  <si>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</si>
  <si>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</si>
  <si>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</si>
  <si>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</si>
  <si>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</si>
  <si>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</si>
  <si>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</si>
  <si>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</si>
  <si>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</si>
  <si>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</si>
  <si>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</si>
  <si>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</si>
  <si>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</si>
  <si>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</si>
  <si>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</si>
  <si>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</si>
  <si>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</si>
  <si>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</si>
  <si>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</si>
  <si>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</si>
  <si>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</si>
  <si>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</si>
  <si>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</si>
  <si>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</si>
  <si>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</si>
  <si>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</si>
  <si>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</si>
  <si>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</si>
  <si>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</si>
  <si>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</si>
  <si>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</si>
  <si>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</si>
  <si>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</si>
  <si>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</si>
  <si>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</si>
  <si>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</si>
  <si>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</si>
  <si>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</si>
  <si>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</si>
  <si>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</si>
  <si>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</si>
  <si>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</si>
  <si>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</si>
  <si>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</si>
  <si>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</si>
  <si>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</si>
  <si>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</si>
  <si>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</si>
  <si>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</si>
  <si>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</si>
  <si>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</si>
  <si>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</si>
  <si>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</si>
  <si>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</si>
  <si>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</si>
  <si>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</si>
  <si>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</si>
  <si>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</si>
  <si>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</si>
  <si>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</si>
  <si>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</si>
  <si>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</si>
  <si>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</si>
  <si>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</si>
  <si>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</si>
  <si>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</si>
  <si>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</si>
  <si>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</si>
  <si>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</si>
  <si>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</si>
  <si>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</si>
  <si>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</si>
  <si>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</si>
  <si>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</si>
  <si>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</si>
  <si>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</si>
  <si>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</si>
  <si>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</si>
  <si>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</si>
  <si>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</si>
  <si>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</si>
  <si>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</si>
  <si>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</si>
  <si>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</si>
  <si>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</si>
  <si>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</si>
  <si>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</si>
  <si>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</si>
  <si>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</si>
  <si>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</si>
  <si>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</si>
  <si>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</si>
  <si>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</si>
  <si>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</si>
  <si>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</si>
  <si>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</si>
  <si>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</si>
  <si>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</si>
  <si>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</si>
  <si>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</si>
  <si>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</si>
  <si>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</si>
  <si>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</si>
  <si>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</si>
  <si>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</si>
  <si>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</si>
  <si>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</si>
  <si>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</si>
  <si>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</si>
  <si>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</si>
  <si>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</si>
  <si>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</si>
  <si>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</si>
  <si>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</si>
  <si>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</si>
  <si>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</si>
  <si>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</si>
  <si>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</si>
  <si>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</si>
  <si>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</si>
  <si>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</si>
  <si>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</si>
  <si>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</si>
  <si>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</si>
  <si>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</si>
  <si>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</si>
  <si>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</si>
  <si>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</si>
  <si>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</si>
  <si>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</si>
  <si>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</si>
  <si>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</si>
  <si>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</si>
  <si>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</si>
  <si>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</si>
  <si>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</si>
  <si>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</si>
  <si>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</si>
  <si>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</si>
  <si>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</si>
  <si>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</si>
  <si>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</si>
  <si>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</si>
  <si>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</si>
  <si>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</si>
  <si>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</si>
  <si>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</si>
  <si>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</si>
  <si>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</si>
  <si>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</si>
  <si>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</si>
  <si>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</si>
  <si>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</si>
  <si>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</si>
  <si>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</si>
  <si>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</si>
  <si>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</si>
  <si>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</si>
  <si>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</si>
  <si>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</si>
  <si>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</si>
  <si>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</si>
  <si>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</si>
  <si>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</si>
  <si>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</si>
  <si>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</si>
  <si>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</si>
  <si>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</si>
  <si>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</si>
  <si>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</si>
  <si>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</si>
  <si>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</si>
  <si>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</si>
  <si>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</si>
  <si>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</si>
  <si>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</si>
  <si>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</si>
  <si>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</si>
  <si>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</si>
  <si>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</si>
  <si>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</si>
  <si>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</si>
  <si>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</si>
  <si>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</si>
  <si>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</si>
  <si>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</si>
  <si>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</si>
  <si>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</si>
  <si>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</si>
  <si>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</si>
  <si>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</si>
  <si>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</si>
  <si>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</si>
  <si>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</si>
  <si>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</si>
  <si>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</si>
  <si>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</si>
  <si>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</si>
  <si>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</si>
  <si>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</si>
  <si>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</si>
  <si>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</si>
  <si>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</si>
  <si>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</si>
  <si>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</si>
  <si>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</si>
  <si>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</si>
  <si>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</si>
  <si>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</si>
  <si>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</si>
  <si>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</si>
  <si>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</si>
  <si>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</si>
  <si>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</si>
  <si>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</si>
  <si>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</si>
  <si>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</si>
  <si>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</si>
  <si>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</si>
  <si>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</si>
  <si>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</si>
  <si>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</si>
  <si>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</si>
  <si>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</si>
  <si>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</si>
  <si>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</si>
  <si>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</si>
  <si>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</si>
  <si>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</si>
  <si>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</si>
  <si>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</si>
  <si>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</si>
  <si>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</si>
  <si>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</si>
  <si>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</si>
  <si>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</si>
  <si>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</si>
  <si>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</si>
  <si>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</si>
  <si>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</si>
  <si>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</si>
  <si>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</si>
  <si>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</si>
  <si>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</si>
  <si>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</si>
  <si>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</si>
  <si>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</si>
  <si>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</si>
  <si>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</si>
  <si>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</si>
  <si>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</si>
  <si>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</si>
  <si>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</si>
  <si>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</si>
  <si>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</si>
  <si>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</si>
  <si>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</si>
  <si>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</si>
  <si>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</si>
  <si>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</si>
  <si>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</si>
  <si>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</si>
  <si>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</si>
  <si>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</si>
  <si>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</si>
  <si>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</si>
  <si>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</si>
  <si>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</si>
  <si>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</si>
  <si>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</si>
  <si>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</si>
  <si>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</si>
  <si>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</si>
  <si>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</si>
  <si>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</si>
  <si>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</si>
  <si>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</si>
  <si>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</si>
  <si>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</si>
  <si>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</si>
  <si>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</si>
  <si>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</si>
  <si>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</si>
  <si>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</si>
  <si>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</si>
  <si>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</si>
  <si>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</si>
  <si>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</si>
  <si>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</si>
  <si>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</si>
  <si>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</si>
  <si>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</si>
  <si>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</si>
  <si>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</si>
  <si>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</si>
  <si>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</si>
  <si>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</si>
  <si>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</si>
  <si>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</si>
  <si>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</si>
  <si>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</si>
  <si>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</si>
  <si>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</si>
  <si>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</si>
  <si>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</si>
  <si>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</si>
  <si>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</si>
  <si>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</si>
  <si>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</si>
  <si>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</si>
  <si>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</si>
  <si>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</si>
  <si>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</si>
  <si>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</si>
  <si>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</si>
  <si>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</si>
  <si>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</si>
  <si>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</si>
  <si>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</si>
  <si>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</si>
  <si>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</si>
  <si>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</si>
  <si>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</si>
  <si>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</si>
  <si>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</si>
  <si>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</si>
  <si>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</si>
  <si>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</si>
  <si>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</si>
  <si>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</si>
  <si>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</si>
  <si>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</si>
  <si>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</si>
  <si>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</si>
  <si>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</si>
  <si>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</si>
  <si>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</si>
  <si>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</si>
  <si>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</si>
  <si>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</si>
  <si>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</si>
  <si>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</si>
  <si>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</si>
  <si>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</si>
  <si>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</si>
  <si>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</si>
  <si>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</si>
  <si>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</si>
  <si>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</si>
  <si>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</si>
  <si>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</si>
  <si>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</si>
  <si>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</si>
  <si>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</si>
  <si>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</si>
  <si>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</si>
  <si>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</si>
  <si>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</si>
  <si>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</si>
  <si>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</si>
  <si>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</si>
  <si>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</si>
  <si>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</si>
  <si>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</si>
  <si>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</si>
  <si>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</si>
  <si>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</si>
  <si>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</si>
  <si>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</si>
  <si>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</si>
  <si>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</si>
  <si>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</si>
  <si>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</si>
  <si>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</si>
  <si>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</si>
  <si>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</si>
  <si>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</si>
  <si>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</si>
  <si>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</si>
  <si>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</si>
  <si>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</si>
  <si>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</si>
  <si>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</si>
  <si>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</si>
  <si>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</si>
  <si>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</si>
  <si>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</si>
  <si>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</si>
  <si>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</si>
  <si>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</si>
  <si>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</si>
  <si>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</si>
  <si>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</si>
  <si>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</si>
  <si>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</si>
  <si>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</si>
  <si>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</si>
  <si>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</si>
  <si>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</si>
  <si>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</si>
  <si>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</si>
  <si>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</si>
  <si>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</si>
  <si>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</si>
  <si>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</si>
  <si>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</si>
  <si>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</si>
  <si>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</si>
  <si>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</si>
  <si>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</si>
  <si>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</si>
  <si>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</si>
  <si>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</si>
  <si>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</si>
  <si>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</si>
  <si>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</si>
  <si>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</si>
  <si>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</si>
  <si>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</si>
  <si>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</si>
  <si>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</si>
  <si>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</si>
  <si>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</si>
  <si>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</si>
  <si>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</si>
  <si>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</si>
  <si>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</si>
  <si>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</si>
  <si>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</si>
  <si>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</si>
  <si>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</si>
  <si>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</si>
  <si>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</si>
  <si>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</si>
  <si>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</si>
  <si>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</si>
  <si>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</si>
  <si>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</si>
  <si>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</si>
  <si>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</si>
  <si>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</si>
  <si>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</si>
  <si>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</si>
  <si>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</si>
  <si>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</si>
  <si>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</si>
  <si>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</si>
  <si>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</si>
  <si>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</si>
  <si>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</si>
  <si>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</si>
  <si>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</si>
  <si>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</si>
  <si>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</si>
  <si>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</si>
  <si>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</si>
  <si>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</si>
  <si>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</si>
  <si>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</si>
  <si>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</si>
  <si>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</si>
  <si>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</si>
  <si>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</si>
  <si>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</si>
  <si>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</si>
  <si>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</si>
  <si>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</si>
  <si>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</si>
  <si>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</si>
  <si>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</si>
  <si>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</si>
  <si>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</si>
  <si>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</si>
  <si>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</si>
  <si>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</si>
  <si>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</si>
  <si>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</si>
  <si>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</si>
  <si>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</si>
  <si>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</si>
  <si>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</si>
  <si>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</si>
  <si>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</si>
  <si>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</si>
  <si>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</si>
  <si>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</si>
  <si>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</si>
  <si>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</si>
  <si>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</si>
  <si>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</si>
  <si>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</si>
  <si>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</si>
  <si>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</si>
  <si>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</si>
  <si>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</si>
  <si>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</si>
  <si>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</si>
  <si>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</si>
  <si>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</si>
  <si>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</si>
  <si>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</si>
  <si>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</si>
  <si>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</si>
  <si>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</si>
  <si>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</si>
  <si>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</si>
  <si>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</si>
  <si>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</si>
  <si>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</si>
  <si>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</si>
  <si>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</si>
  <si>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</si>
  <si>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</si>
  <si>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</si>
  <si>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</si>
  <si>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</si>
  <si>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</si>
  <si>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</si>
  <si>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</si>
  <si>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</si>
  <si>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</si>
  <si>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</si>
  <si>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</si>
  <si>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</si>
  <si>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</si>
  <si>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</si>
  <si>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</si>
  <si>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</si>
  <si>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</si>
  <si>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</si>
  <si>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</si>
  <si>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</si>
  <si>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</si>
  <si>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</si>
  <si>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</si>
  <si>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</si>
  <si>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</si>
  <si>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</si>
  <si>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</si>
  <si>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</si>
  <si>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</si>
  <si>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</si>
  <si>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</si>
  <si>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</si>
  <si>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</si>
  <si>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</si>
  <si>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</si>
  <si>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</si>
  <si>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</si>
  <si>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</si>
  <si>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</si>
  <si>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</si>
  <si>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</si>
  <si>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</si>
  <si>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</si>
  <si>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</si>
  <si>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</si>
  <si>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</si>
  <si>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</si>
  <si>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</si>
  <si>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</si>
  <si>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</si>
  <si>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</si>
  <si>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</si>
  <si>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</si>
  <si>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</si>
  <si>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</si>
  <si>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</si>
  <si>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</si>
  <si>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</si>
  <si>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</si>
  <si>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</si>
  <si>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</si>
  <si>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</si>
  <si>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</si>
  <si>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</si>
  <si>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</si>
  <si>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</si>
  <si>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</si>
  <si>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</si>
  <si>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</si>
  <si>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</si>
  <si>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</si>
  <si>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</si>
  <si>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</si>
  <si>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</si>
  <si>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</si>
  <si>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</si>
  <si>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</si>
  <si>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</si>
  <si>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</si>
  <si>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</si>
  <si>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</si>
  <si>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</si>
  <si>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</si>
  <si>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</si>
  <si>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</si>
  <si>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</si>
  <si>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</si>
  <si>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</si>
  <si>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</si>
  <si>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</si>
  <si>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</si>
  <si>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</si>
  <si>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</si>
  <si>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</si>
  <si>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</si>
  <si>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</si>
  <si>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</si>
  <si>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</si>
  <si>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</si>
  <si>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</si>
  <si>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</si>
  <si>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</si>
  <si>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</si>
  <si>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</si>
  <si>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</si>
  <si>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</si>
  <si>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</si>
  <si>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</si>
  <si>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</si>
  <si>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</si>
  <si>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</si>
  <si>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</si>
  <si>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</si>
  <si>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</si>
  <si>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</si>
  <si>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</si>
  <si>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</si>
  <si>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</si>
  <si>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</si>
  <si>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</si>
  <si>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</si>
  <si>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</si>
  <si>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</si>
  <si>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</si>
  <si>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</si>
  <si>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</si>
  <si>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</si>
  <si>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</si>
  <si>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</si>
  <si>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</si>
  <si>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</si>
  <si>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</si>
  <si>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</si>
  <si>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</si>
  <si>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</si>
  <si>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</si>
  <si>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</si>
  <si>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</si>
  <si>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</si>
  <si>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</si>
  <si>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</si>
  <si>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</si>
  <si>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</si>
  <si>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</si>
  <si>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</si>
  <si>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</si>
  <si>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</si>
  <si>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</si>
  <si>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</si>
  <si>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</si>
  <si>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</si>
  <si>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</si>
  <si>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</si>
  <si>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</si>
  <si>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</si>
  <si>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</si>
  <si>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</si>
  <si>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</si>
  <si>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</si>
  <si>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</si>
  <si>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</si>
  <si>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</si>
  <si>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</si>
  <si>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</si>
  <si>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</si>
  <si>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</si>
  <si>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</si>
  <si>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</si>
  <si>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</si>
  <si>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</si>
  <si>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</si>
  <si>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</si>
  <si>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</si>
  <si>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</si>
  <si>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</si>
  <si>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</si>
  <si>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</si>
  <si>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</si>
  <si>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</si>
  <si>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</si>
  <si>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</si>
  <si>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</si>
  <si>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</si>
  <si>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</si>
  <si>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</si>
  <si>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</si>
  <si>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</si>
  <si>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</si>
  <si>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</si>
  <si>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</si>
  <si>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</si>
  <si>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</si>
  <si>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</si>
  <si>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</si>
  <si>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</si>
  <si>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</si>
  <si>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</si>
  <si>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</si>
  <si>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</si>
  <si>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</si>
  <si>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</si>
  <si>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</si>
  <si>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</si>
  <si>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</si>
  <si>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</si>
  <si>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</si>
  <si>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</si>
  <si>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</si>
  <si>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</si>
  <si>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</si>
  <si>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</si>
  <si>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</si>
  <si>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</si>
  <si>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</si>
  <si>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</si>
  <si>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</si>
  <si>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</si>
  <si>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</si>
  <si>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</si>
  <si>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</si>
  <si>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</si>
  <si>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</si>
  <si>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</si>
  <si>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</si>
  <si>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</si>
  <si>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</si>
  <si>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</si>
  <si>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</si>
  <si>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</si>
  <si>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</si>
  <si>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</si>
  <si>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</si>
  <si>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</si>
  <si>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</si>
  <si>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</si>
  <si>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</si>
  <si>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</si>
  <si>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</si>
  <si>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</si>
  <si>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</si>
  <si>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</si>
  <si>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</si>
  <si>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</si>
  <si>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</si>
  <si>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</si>
  <si>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</si>
  <si>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</si>
  <si>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</si>
  <si>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</si>
  <si>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</si>
  <si>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</si>
  <si>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</si>
  <si>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</si>
  <si>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</si>
  <si>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</si>
  <si>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</si>
  <si>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</si>
  <si>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</si>
  <si>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</si>
  <si>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</si>
  <si>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</si>
  <si>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</si>
  <si>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</si>
  <si>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</si>
  <si>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</si>
  <si>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</si>
  <si>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</si>
  <si>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</si>
  <si>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</si>
  <si>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</si>
  <si>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</si>
  <si>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</si>
  <si>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</si>
  <si>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</si>
  <si>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</si>
  <si>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</si>
  <si>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</si>
  <si>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</si>
  <si>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</si>
  <si>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</si>
  <si>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</si>
  <si>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</si>
  <si>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</si>
  <si>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</si>
  <si>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</si>
  <si>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</si>
  <si>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</si>
  <si>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</si>
  <si>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</si>
  <si>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</si>
  <si>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</si>
  <si>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</si>
  <si>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</si>
  <si>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</si>
  <si>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</si>
  <si>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</si>
  <si>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</si>
  <si>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</si>
  <si>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</si>
  <si>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</si>
  <si>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</si>
  <si>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</si>
  <si>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</si>
  <si>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</si>
  <si>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</si>
  <si>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</si>
  <si>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</si>
  <si>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</si>
  <si>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</si>
  <si>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</si>
  <si>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</si>
  <si>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</si>
  <si>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</si>
  <si>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</si>
  <si>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</si>
  <si>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</si>
  <si>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</si>
  <si>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</si>
  <si>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</si>
  <si>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</si>
  <si>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</si>
  <si>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</si>
  <si>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</si>
  <si>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</si>
  <si>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</si>
  <si>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</si>
  <si>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</si>
  <si>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</si>
  <si>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</si>
  <si>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</si>
  <si>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</si>
  <si>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</si>
  <si>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</si>
  <si>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</si>
  <si>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</si>
  <si>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</si>
  <si>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</si>
  <si>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</si>
  <si>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</si>
  <si>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</si>
  <si>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</si>
  <si>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</si>
  <si>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</si>
  <si>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</si>
  <si>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</si>
  <si>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</si>
  <si>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</si>
  <si>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</si>
  <si>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</si>
  <si>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</si>
  <si>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</si>
  <si>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</si>
  <si>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</si>
  <si>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</si>
  <si>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</si>
  <si>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</si>
  <si>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</si>
  <si>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</si>
  <si>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</si>
  <si>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</si>
  <si>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</si>
  <si>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</si>
  <si>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</si>
  <si>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</si>
  <si>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</si>
  <si>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</si>
  <si>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</si>
  <si>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</si>
  <si>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</si>
  <si>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</si>
  <si>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</si>
  <si>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</si>
  <si>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</si>
  <si>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</si>
  <si>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</si>
  <si>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</si>
  <si>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</si>
  <si>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</si>
  <si>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</si>
  <si>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</si>
  <si>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</si>
  <si>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</si>
  <si>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</si>
  <si>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</si>
  <si>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</si>
  <si>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</si>
  <si>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</si>
  <si>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</si>
  <si>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</si>
  <si>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</si>
  <si>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</si>
  <si>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</si>
  <si>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</si>
  <si>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</si>
  <si>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</si>
  <si>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</si>
  <si>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</si>
  <si>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</si>
  <si>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</si>
  <si>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</si>
  <si>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</si>
  <si>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</si>
  <si>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</si>
  <si>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</si>
  <si>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</si>
  <si>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</si>
  <si>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</si>
  <si>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</si>
  <si>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</si>
  <si>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</si>
  <si>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</si>
  <si>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</si>
  <si>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</si>
  <si>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</si>
  <si>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</si>
  <si>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</si>
  <si>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</si>
  <si>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</si>
  <si>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</si>
  <si>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</si>
  <si>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</si>
  <si>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</si>
  <si>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</si>
  <si>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</si>
  <si>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</si>
  <si>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</si>
  <si>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</si>
  <si>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</si>
  <si>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</si>
  <si>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</si>
  <si>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</si>
  <si>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</si>
  <si>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</si>
  <si>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</si>
  <si>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</si>
  <si>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</si>
  <si>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</si>
  <si>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</si>
  <si>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</si>
  <si>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</si>
  <si>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</si>
  <si>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</si>
  <si>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</si>
  <si>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</si>
  <si>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</si>
  <si>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</si>
  <si>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</si>
  <si>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</si>
  <si>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</si>
  <si>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</si>
  <si>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</si>
  <si>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</si>
  <si>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</si>
  <si>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</si>
  <si>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</si>
  <si>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</si>
  <si>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</si>
  <si>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</si>
  <si>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</si>
  <si>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</si>
  <si>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</si>
  <si>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</si>
  <si>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</si>
  <si>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</si>
  <si>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</si>
  <si>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</si>
  <si>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</si>
  <si>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</si>
  <si>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</si>
  <si>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</si>
  <si>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</si>
  <si>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</si>
  <si>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</si>
  <si>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</si>
  <si>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</si>
  <si>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</si>
  <si>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</si>
  <si>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</si>
  <si>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</si>
  <si>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</si>
  <si>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</si>
  <si>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</si>
  <si>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</si>
  <si>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</si>
  <si>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</si>
  <si>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</si>
  <si>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</si>
  <si>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</si>
  <si>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</si>
  <si>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</si>
  <si>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</si>
  <si>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</si>
  <si>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</si>
  <si>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</si>
  <si>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</si>
  <si>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</si>
  <si>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</si>
  <si>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</si>
  <si>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</si>
  <si>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</si>
  <si>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</si>
  <si>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</si>
  <si>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</si>
  <si>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</si>
  <si>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</si>
  <si>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</si>
  <si>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</si>
  <si>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</si>
  <si>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</si>
  <si>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</si>
  <si>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</si>
  <si>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</si>
  <si>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</si>
  <si>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</si>
  <si>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</si>
  <si>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</si>
  <si>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</si>
  <si>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</si>
  <si>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</si>
  <si>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</si>
  <si>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</si>
  <si>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</si>
  <si>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</si>
  <si>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</si>
  <si>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</si>
  <si>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</si>
  <si>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</si>
  <si>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</si>
  <si>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</si>
  <si>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</si>
  <si>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</si>
  <si>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</si>
  <si>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</si>
  <si>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</si>
  <si>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</si>
  <si>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</si>
  <si>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</si>
  <si>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</si>
  <si>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</si>
  <si>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</si>
  <si>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</si>
  <si>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</si>
  <si>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</si>
  <si>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</si>
  <si>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</si>
  <si>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</si>
  <si>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</si>
  <si>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</si>
  <si>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</si>
  <si>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</si>
  <si>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</si>
  <si>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</si>
  <si>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</si>
  <si>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</si>
  <si>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</si>
  <si>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</si>
  <si>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</si>
  <si>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</si>
  <si>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</si>
  <si>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</si>
  <si>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</si>
  <si>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</si>
  <si>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</si>
  <si>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</si>
  <si>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</si>
  <si>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</si>
  <si>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</si>
  <si>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</si>
  <si>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</si>
  <si>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</si>
  <si>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</si>
  <si>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</si>
  <si>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</si>
  <si>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</si>
  <si>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</si>
  <si>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</si>
  <si>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</si>
  <si>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</si>
  <si>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</si>
  <si>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</si>
  <si>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</si>
  <si>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</si>
  <si>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</si>
  <si>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</si>
  <si>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</si>
  <si>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</si>
  <si>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</si>
  <si>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</si>
  <si>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</si>
  <si>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</si>
  <si>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</si>
  <si>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</si>
  <si>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</si>
  <si>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</si>
  <si>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</si>
  <si>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</si>
  <si>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</si>
  <si>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</si>
  <si>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</si>
  <si>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</si>
  <si>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</si>
  <si>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</si>
  <si>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</si>
  <si>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</si>
  <si>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</si>
  <si>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</si>
  <si>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</si>
  <si>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</si>
  <si>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</si>
  <si>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</si>
  <si>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</si>
  <si>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</si>
  <si>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</si>
  <si>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</si>
  <si>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</si>
  <si>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</si>
  <si>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</si>
  <si>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</si>
  <si>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</si>
  <si>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</si>
  <si>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</si>
  <si>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</si>
  <si>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</si>
  <si>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</si>
  <si>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</si>
  <si>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</si>
  <si>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</si>
  <si>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</si>
  <si>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</si>
  <si>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</si>
  <si>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</si>
  <si>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</si>
  <si>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</si>
  <si>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</si>
  <si>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</si>
  <si>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</si>
  <si>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</si>
  <si>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</si>
  <si>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</si>
  <si>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</si>
  <si>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</si>
  <si>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</si>
  <si>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</si>
  <si>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</si>
  <si>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</si>
  <si>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</si>
  <si>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</si>
  <si>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</si>
  <si>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</si>
  <si>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</si>
  <si>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</si>
  <si>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</si>
  <si>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</si>
  <si>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</si>
  <si>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</si>
  <si>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</si>
  <si>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</si>
  <si>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</si>
  <si>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</si>
  <si>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</si>
  <si>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</si>
  <si>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</si>
  <si>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</si>
  <si>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</si>
  <si>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</si>
  <si>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</si>
  <si>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</si>
  <si>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</si>
  <si>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</si>
  <si>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</si>
  <si>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</si>
  <si>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</si>
  <si>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</si>
  <si>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</si>
  <si>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</si>
  <si>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</si>
  <si>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</si>
  <si>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</si>
  <si>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</si>
  <si>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</si>
  <si>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</si>
  <si>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</si>
  <si>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</si>
  <si>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</si>
  <si>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</si>
  <si>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</si>
  <si>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</si>
  <si>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</si>
  <si>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</si>
  <si>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</si>
  <si>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</si>
  <si>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</si>
  <si>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</si>
  <si>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</si>
  <si>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</si>
  <si>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</si>
  <si>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</si>
  <si>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</si>
  <si>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</si>
  <si>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</si>
  <si>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</si>
  <si>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</si>
  <si>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</si>
  <si>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</si>
  <si>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</si>
  <si>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</si>
  <si>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</si>
  <si>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</si>
  <si>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</si>
  <si>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</si>
  <si>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</si>
  <si>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</si>
  <si>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</si>
  <si>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</si>
  <si>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</si>
  <si>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</si>
  <si>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</si>
  <si>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</si>
  <si>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</si>
  <si>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</si>
  <si>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</si>
  <si>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</si>
  <si>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</si>
  <si>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</si>
  <si>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</si>
  <si>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</si>
  <si>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</si>
  <si>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</si>
  <si>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</si>
  <si>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</si>
  <si>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</si>
  <si>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</si>
  <si>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</si>
  <si>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</si>
  <si>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</si>
  <si>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</si>
  <si>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</si>
  <si>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</si>
  <si>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</si>
  <si>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</si>
  <si>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</si>
  <si>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</si>
  <si>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</si>
  <si>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</si>
  <si>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</si>
  <si>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</si>
  <si>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</si>
  <si>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</si>
  <si>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</si>
  <si>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</si>
  <si>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</si>
  <si>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</si>
  <si>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</si>
  <si>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</si>
  <si>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</si>
  <si>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</si>
  <si>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</si>
  <si>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</si>
  <si>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</si>
  <si>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</si>
  <si>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</si>
  <si>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</si>
  <si>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</si>
  <si>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</si>
  <si>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</si>
  <si>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</si>
  <si>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</si>
  <si>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</si>
  <si>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</si>
  <si>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</si>
  <si>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</si>
  <si>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</si>
  <si>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</si>
  <si>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</si>
  <si>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</si>
  <si>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</si>
  <si>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</si>
  <si>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</si>
  <si>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</si>
  <si>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</si>
  <si>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</si>
  <si>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</si>
  <si>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</si>
  <si>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</si>
  <si>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</si>
  <si>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</si>
  <si>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</si>
  <si>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</si>
  <si>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</si>
  <si>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</si>
  <si>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</si>
  <si>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</si>
  <si>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</si>
  <si>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</si>
  <si>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</si>
  <si>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</si>
  <si>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</si>
  <si>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</si>
  <si>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</si>
  <si>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</si>
  <si>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</si>
  <si>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</si>
  <si>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</si>
  <si>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</si>
  <si>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</si>
  <si>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</si>
  <si>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</si>
  <si>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</si>
  <si>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</si>
  <si>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</si>
  <si>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</si>
  <si>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</si>
  <si>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</si>
  <si>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</si>
  <si>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</si>
  <si>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</si>
  <si>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</si>
  <si>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</si>
  <si>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</si>
  <si>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</si>
  <si>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</si>
  <si>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</si>
  <si>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</si>
  <si>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</si>
  <si>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</si>
  <si>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</si>
  <si>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</si>
  <si>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</si>
  <si>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</si>
  <si>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</si>
  <si>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</si>
  <si>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</si>
  <si>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</si>
  <si>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</si>
  <si>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</si>
  <si>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</si>
  <si>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</si>
  <si>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</si>
  <si>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</si>
  <si>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</si>
  <si>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</si>
  <si>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</si>
  <si>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</si>
  <si>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</si>
  <si>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</si>
  <si>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</si>
  <si>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</si>
  <si>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</si>
  <si>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</si>
  <si>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</si>
  <si>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</si>
  <si>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</si>
  <si>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</si>
  <si>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</si>
  <si>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</si>
  <si>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</si>
  <si>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</si>
  <si>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</si>
  <si>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</si>
  <si>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</si>
  <si>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</si>
  <si>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</si>
  <si>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</si>
  <si>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</si>
  <si>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</si>
  <si>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</si>
  <si>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</si>
  <si>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</si>
  <si>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</si>
  <si>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</si>
  <si>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</si>
  <si>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</si>
  <si>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</si>
  <si>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</si>
  <si>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</si>
  <si>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</si>
  <si>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</si>
  <si>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</si>
  <si>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</si>
  <si>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</si>
  <si>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</si>
  <si>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</si>
  <si>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</si>
  <si>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</si>
  <si>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</si>
  <si>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</si>
  <si>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</si>
  <si>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</si>
  <si>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</si>
  <si>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</si>
  <si>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</si>
  <si>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</si>
  <si>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</si>
  <si>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</si>
  <si>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</si>
  <si>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</si>
  <si>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</si>
  <si>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</si>
  <si>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</si>
  <si>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</si>
  <si>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</si>
  <si>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</si>
  <si>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</si>
  <si>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</si>
  <si>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</si>
  <si>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</si>
  <si>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</si>
  <si>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</si>
  <si>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</si>
  <si>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</si>
  <si>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</si>
  <si>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</si>
  <si>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</si>
  <si>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</si>
  <si>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</si>
  <si>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</si>
  <si>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</si>
  <si>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</si>
  <si>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</si>
  <si>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</si>
  <si>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</si>
  <si>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</si>
  <si>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</si>
  <si>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</si>
  <si>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</si>
  <si>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</si>
  <si>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</si>
  <si>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</si>
  <si>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</si>
  <si>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</si>
  <si>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</si>
  <si>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</si>
  <si>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</si>
  <si>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</si>
  <si>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</si>
  <si>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</si>
  <si>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</si>
  <si>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</si>
  <si>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</si>
  <si>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</si>
  <si>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</si>
  <si>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</si>
  <si>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</si>
  <si>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</si>
  <si>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</si>
  <si>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</si>
  <si>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</si>
  <si>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</si>
  <si>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</si>
  <si>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</si>
  <si>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</si>
  <si>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</si>
  <si>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</si>
  <si>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</si>
  <si>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</si>
  <si>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</si>
  <si>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</si>
  <si>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</si>
  <si>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</si>
  <si>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</si>
  <si>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</si>
  <si>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</si>
  <si>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</si>
  <si>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</si>
  <si>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</si>
  <si>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</si>
  <si>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</si>
  <si>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</si>
  <si>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</si>
  <si>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</si>
  <si>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</si>
  <si>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</si>
  <si>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</si>
  <si>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</si>
  <si>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</si>
  <si>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</si>
  <si>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</si>
  <si>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</si>
  <si>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</si>
  <si>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</si>
  <si>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</si>
  <si>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</si>
  <si>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</si>
  <si>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</si>
  <si>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</si>
  <si>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</si>
  <si>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</si>
  <si>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</si>
  <si>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</si>
  <si>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</si>
  <si>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</si>
  <si>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</si>
  <si>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</si>
  <si>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</si>
  <si>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</si>
  <si>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</si>
  <si>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</si>
  <si>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</si>
  <si>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</si>
  <si>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</si>
  <si>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</si>
  <si>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</si>
  <si>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</si>
  <si>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</si>
  <si>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</si>
  <si>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</si>
  <si>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</si>
  <si>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</si>
  <si>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</si>
  <si>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</si>
  <si>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</si>
  <si>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</si>
  <si>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</si>
  <si>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</si>
  <si>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</si>
  <si>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</si>
  <si>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</si>
  <si>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</si>
  <si>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</si>
  <si>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</si>
  <si>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</si>
  <si>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</si>
  <si>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</si>
  <si>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</si>
  <si>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</si>
  <si>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</si>
  <si>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</si>
  <si>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</si>
  <si>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</si>
  <si>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</si>
  <si>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</si>
  <si>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</si>
  <si>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</si>
  <si>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</si>
  <si>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</si>
  <si>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</si>
  <si>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</si>
  <si>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</si>
  <si>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</si>
  <si>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</si>
  <si>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</si>
  <si>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</si>
  <si>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</si>
  <si>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</si>
  <si>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</si>
  <si>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</si>
  <si>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</si>
  <si>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</si>
  <si>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</si>
  <si>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</si>
  <si>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</si>
  <si>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</si>
  <si>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</si>
  <si>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</si>
  <si>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</si>
  <si>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</si>
  <si>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</si>
  <si>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</si>
  <si>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</si>
  <si>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</si>
  <si>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</si>
  <si>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</si>
  <si>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</si>
  <si>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</si>
  <si>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</si>
  <si>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</si>
  <si>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</si>
  <si>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</si>
  <si>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</si>
  <si>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</si>
  <si>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</si>
  <si>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</si>
  <si>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</si>
  <si>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</si>
  <si>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</si>
  <si>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</si>
  <si>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</si>
  <si>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</si>
  <si>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</si>
  <si>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</si>
  <si>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</si>
  <si>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</si>
  <si>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</si>
  <si>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</si>
  <si>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</si>
  <si>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</si>
  <si>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</si>
  <si>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</si>
  <si>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</si>
  <si>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</si>
  <si>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</si>
  <si>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</si>
  <si>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</si>
  <si>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</si>
  <si>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</si>
  <si>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</si>
  <si>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</si>
  <si>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</si>
  <si>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</si>
  <si>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</si>
  <si>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</si>
  <si>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</si>
  <si>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</si>
  <si>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</si>
  <si>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</si>
  <si>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</si>
  <si>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</si>
  <si>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</si>
  <si>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</si>
  <si>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</si>
  <si>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</si>
  <si>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</si>
  <si>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</si>
  <si>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</si>
  <si>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</si>
  <si>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</si>
  <si>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</si>
  <si>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</si>
  <si>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</si>
  <si>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</si>
  <si>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</si>
  <si>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</si>
  <si>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</si>
  <si>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</si>
  <si>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</si>
  <si>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</si>
  <si>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</si>
  <si>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</si>
  <si>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</si>
  <si>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</si>
  <si>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</si>
  <si>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</si>
  <si>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</si>
  <si>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</si>
  <si>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</si>
  <si>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</si>
  <si>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</si>
  <si>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</si>
  <si>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</si>
  <si>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</si>
  <si>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</si>
  <si>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</si>
  <si>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</si>
  <si>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</si>
  <si>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</si>
  <si>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</si>
  <si>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</si>
  <si>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</si>
  <si>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</si>
  <si>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</si>
  <si>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</si>
  <si>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</si>
  <si>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</si>
  <si>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</si>
  <si>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</si>
  <si>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</si>
  <si>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</si>
  <si>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</si>
  <si>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</si>
  <si>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</si>
  <si>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</si>
  <si>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</si>
  <si>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</si>
  <si>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</si>
  <si>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</si>
  <si>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</si>
  <si>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</si>
  <si>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</si>
  <si>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</si>
  <si>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</si>
  <si>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</si>
  <si>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</si>
  <si>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</si>
  <si>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</si>
  <si>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</si>
  <si>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</si>
  <si>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</si>
  <si>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</si>
  <si>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</si>
  <si>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</si>
  <si>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</si>
  <si>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</si>
  <si>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</si>
  <si>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</si>
  <si>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</si>
  <si>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</si>
  <si>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</si>
  <si>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</si>
  <si>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</si>
  <si>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</si>
  <si>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</si>
  <si>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</si>
  <si>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</si>
  <si>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</si>
  <si>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</si>
  <si>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</si>
  <si>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</si>
  <si>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</si>
  <si>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</si>
  <si>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</si>
  <si>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</si>
  <si>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</si>
  <si>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</si>
  <si>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</si>
  <si>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</si>
  <si>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</si>
  <si>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</si>
  <si>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</si>
  <si>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</si>
  <si>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</si>
  <si>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</si>
  <si>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</si>
  <si>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</si>
  <si>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</si>
  <si>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</si>
  <si>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</si>
  <si>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</si>
  <si>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</si>
  <si>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</si>
  <si>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</si>
  <si>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</si>
  <si>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</si>
  <si>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</si>
  <si>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</si>
  <si>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</si>
  <si>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</si>
  <si>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</si>
  <si>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</si>
  <si>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</si>
  <si>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</si>
  <si>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</si>
  <si>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</si>
  <si>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</si>
  <si>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</si>
  <si>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</si>
  <si>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</si>
  <si>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</si>
  <si>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</si>
  <si>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</si>
  <si>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</si>
  <si>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</si>
  <si>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</si>
  <si>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</si>
  <si>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</si>
  <si>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</si>
  <si>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</si>
  <si>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</si>
  <si>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</si>
  <si>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</si>
  <si>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</si>
  <si>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</si>
  <si>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</si>
  <si>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</si>
  <si>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</si>
  <si>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</si>
  <si>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</si>
  <si>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</si>
  <si>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</si>
  <si>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</si>
  <si>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</si>
  <si>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</si>
  <si>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</si>
  <si>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</si>
  <si>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</si>
  <si>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</si>
  <si>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</si>
  <si>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</si>
  <si>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</si>
  <si>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</si>
  <si>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</si>
  <si>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</si>
  <si>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</si>
  <si>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</si>
  <si>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</si>
  <si>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</si>
  <si>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</si>
  <si>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</si>
  <si>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</si>
  <si>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</si>
  <si>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</si>
  <si>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</si>
  <si>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</si>
  <si>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</si>
  <si>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</si>
  <si>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</si>
  <si>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</si>
  <si>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</si>
  <si>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</si>
  <si>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</si>
  <si>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</si>
  <si>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</si>
  <si>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</si>
  <si>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</si>
  <si>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</si>
  <si>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</si>
  <si>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</si>
  <si>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</si>
  <si>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</si>
  <si>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</si>
  <si>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</si>
  <si>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</si>
  <si>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</si>
  <si>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</si>
  <si>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</si>
  <si>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</si>
  <si>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</si>
  <si>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</si>
  <si>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</si>
  <si>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</si>
  <si>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</si>
  <si>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</si>
  <si>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</si>
  <si>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</si>
  <si>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</si>
  <si>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</si>
  <si>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</si>
  <si>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</si>
  <si>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</si>
  <si>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</si>
  <si>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</si>
  <si>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</si>
  <si>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</si>
  <si>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</si>
  <si>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</si>
  <si>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</si>
  <si>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</si>
  <si>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</si>
  <si>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</si>
  <si>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</si>
  <si>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</si>
  <si>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</si>
  <si>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</si>
  <si>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</si>
  <si>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</si>
  <si>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</si>
  <si>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</si>
  <si>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</si>
  <si>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</si>
  <si>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</si>
  <si>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</si>
  <si>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</si>
  <si>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</si>
  <si>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</si>
  <si>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</si>
  <si>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</si>
  <si>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</si>
  <si>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</si>
  <si>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</si>
  <si>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</si>
  <si>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</si>
  <si>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</si>
  <si>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</si>
  <si>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</si>
  <si>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</si>
  <si>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</si>
  <si>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</si>
  <si>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</si>
  <si>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</si>
  <si>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</si>
  <si>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</si>
  <si>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</si>
  <si>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</si>
  <si>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</si>
  <si>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</si>
  <si>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</si>
  <si>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</si>
  <si>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</si>
  <si>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</si>
  <si>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</si>
  <si>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</si>
  <si>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</si>
  <si>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</si>
  <si>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</si>
  <si>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</si>
  <si>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</si>
  <si>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</si>
  <si>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</si>
  <si>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</si>
  <si>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</si>
  <si>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</si>
  <si>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</si>
  <si>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</si>
  <si>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</si>
  <si>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</si>
  <si>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</si>
  <si>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</si>
  <si>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</si>
  <si>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</si>
  <si>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</si>
  <si>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</si>
  <si>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</si>
  <si>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</si>
  <si>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</si>
  <si>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</si>
  <si>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</si>
  <si>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</si>
  <si>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</si>
  <si>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</si>
  <si>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</si>
  <si>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</si>
  <si>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</si>
  <si>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</si>
  <si>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</si>
  <si>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</si>
  <si>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</si>
  <si>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</si>
  <si>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</si>
  <si>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</si>
  <si>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</si>
  <si>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</si>
  <si>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</si>
  <si>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</si>
  <si>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</si>
  <si>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</si>
  <si>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</si>
  <si>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</si>
  <si>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</si>
  <si>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</si>
  <si>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</si>
  <si>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</si>
  <si>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</si>
  <si>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</si>
  <si>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</si>
  <si>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</si>
  <si>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</si>
  <si>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</si>
  <si>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</si>
  <si>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</si>
  <si>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</si>
  <si>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</si>
  <si>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</si>
  <si>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</si>
  <si>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</si>
  <si>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</si>
  <si>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</si>
  <si>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</si>
  <si>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</si>
  <si>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</si>
  <si>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</si>
  <si>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</si>
  <si>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</si>
  <si>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</si>
  <si>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</si>
  <si>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</si>
  <si>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</si>
  <si>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</si>
  <si>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</si>
  <si>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</si>
  <si>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</si>
  <si>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</si>
  <si>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</si>
  <si>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</si>
  <si>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</si>
  <si>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</si>
  <si>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</si>
  <si>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</si>
  <si>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</si>
  <si>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</si>
  <si>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</si>
  <si>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</si>
  <si>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</si>
  <si>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</si>
  <si>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</si>
  <si>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</si>
  <si>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</si>
  <si>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</si>
  <si>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</si>
  <si>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</si>
  <si>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</si>
  <si>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</si>
  <si>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</si>
  <si>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</si>
  <si>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</si>
  <si>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</si>
  <si>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</si>
  <si>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</si>
  <si>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</si>
  <si>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</si>
  <si>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</si>
  <si>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</si>
  <si>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</si>
  <si>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</si>
  <si>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</si>
  <si>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</si>
  <si>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</si>
  <si>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</si>
  <si>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</si>
  <si>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</si>
  <si>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</si>
  <si>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</si>
  <si>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</si>
  <si>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</si>
  <si>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</si>
  <si>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</si>
  <si>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</si>
  <si>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</si>
  <si>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</si>
  <si>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</si>
  <si>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</si>
  <si>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</si>
  <si>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</si>
  <si>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</si>
  <si>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</si>
  <si>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</si>
  <si>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</si>
  <si>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</si>
  <si>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</si>
  <si>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</si>
  <si>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</si>
  <si>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</si>
  <si>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</si>
  <si>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</si>
  <si>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</si>
  <si>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</si>
  <si>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</si>
  <si>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</si>
  <si>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</si>
  <si>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</si>
  <si>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</si>
  <si>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</si>
  <si>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</si>
  <si>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</si>
  <si>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</si>
  <si>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</si>
  <si>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</si>
  <si>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</si>
  <si>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</si>
  <si>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</si>
  <si>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</si>
  <si>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</si>
  <si>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</si>
  <si>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</si>
  <si>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</si>
  <si>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</si>
  <si>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</si>
  <si>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</si>
  <si>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</si>
  <si>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</si>
  <si>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</si>
  <si>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</si>
  <si>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</si>
  <si>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</si>
  <si>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</si>
  <si>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</si>
  <si>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</si>
  <si>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</si>
  <si>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</si>
  <si>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</si>
  <si>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</si>
  <si>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</si>
  <si>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</si>
  <si>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</si>
  <si>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</si>
  <si>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</si>
  <si>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</si>
  <si>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</si>
  <si>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</si>
  <si>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</si>
  <si>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</si>
  <si>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</si>
  <si>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</si>
  <si>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</si>
  <si>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</si>
  <si>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</si>
  <si>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</si>
  <si>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</si>
  <si>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</si>
  <si>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</si>
  <si>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</si>
  <si>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</si>
  <si>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</si>
  <si>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</si>
  <si>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</si>
  <si>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</si>
  <si>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</si>
  <si>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</si>
  <si>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</si>
  <si>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</si>
  <si>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</si>
  <si>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</si>
  <si>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</si>
  <si>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</si>
  <si>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</si>
  <si>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</si>
  <si>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</si>
  <si>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</si>
  <si>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</si>
  <si>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</si>
  <si>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</si>
  <si>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</si>
  <si>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</si>
  <si>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</si>
  <si>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</si>
  <si>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</si>
  <si>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</si>
  <si>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</si>
  <si>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</si>
  <si>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</si>
  <si>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</si>
  <si>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</si>
  <si>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</si>
  <si>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</si>
  <si>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</si>
  <si>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</si>
  <si>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</si>
  <si>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</si>
  <si>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</si>
  <si>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</si>
  <si>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</si>
  <si>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</si>
  <si>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</si>
  <si>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</si>
  <si>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</si>
  <si>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</si>
  <si>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</si>
  <si>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</si>
  <si>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</si>
  <si>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</si>
  <si>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</si>
  <si>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</si>
  <si>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</si>
  <si>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</si>
  <si>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</si>
  <si>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</si>
  <si>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</si>
  <si>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</si>
  <si>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</si>
  <si>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</si>
  <si>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</si>
  <si>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</si>
  <si>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</si>
  <si>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</si>
  <si>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</si>
  <si>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</si>
  <si>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</si>
  <si>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</si>
  <si>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</si>
  <si>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</si>
  <si>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</si>
  <si>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</si>
  <si>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</si>
  <si>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</si>
  <si>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</si>
  <si>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</si>
  <si>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</si>
  <si>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</si>
  <si>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</si>
  <si>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</si>
  <si>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</si>
  <si>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</si>
  <si>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</si>
  <si>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</si>
  <si>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</si>
  <si>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</si>
  <si>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</si>
  <si>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</si>
  <si>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</si>
  <si>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</si>
  <si>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</si>
  <si>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</si>
  <si>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</si>
  <si>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</si>
  <si>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</si>
  <si>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</si>
  <si>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</si>
  <si>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</si>
  <si>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</si>
  <si>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</si>
  <si>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</si>
  <si>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</si>
  <si>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</si>
  <si>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</si>
  <si>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</si>
  <si>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</si>
  <si>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</si>
  <si>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</si>
  <si>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</si>
  <si>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</si>
  <si>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</si>
  <si>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</si>
  <si>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</si>
  <si>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</si>
  <si>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</si>
  <si>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</si>
  <si>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</si>
  <si>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</si>
  <si>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</si>
  <si>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</si>
  <si>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</si>
  <si>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</si>
  <si>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</si>
  <si>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</si>
  <si>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</si>
  <si>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</si>
  <si>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</si>
  <si>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</si>
  <si>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</si>
  <si>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</si>
  <si>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</si>
  <si>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</si>
  <si>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</si>
  <si>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</si>
  <si>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</si>
  <si>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</si>
  <si>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</si>
  <si>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</si>
  <si>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</si>
  <si>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</si>
  <si>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</si>
  <si>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</si>
  <si>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</si>
  <si>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</si>
  <si>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</si>
  <si>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</si>
  <si>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</si>
  <si>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</si>
  <si>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</si>
  <si>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</si>
  <si>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</si>
  <si>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</si>
  <si>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</si>
  <si>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</si>
  <si>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</si>
  <si>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</si>
  <si>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</si>
  <si>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</si>
  <si>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</si>
  <si>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</si>
  <si>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</si>
  <si>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</si>
  <si>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</si>
  <si>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</si>
  <si>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</si>
  <si>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</si>
  <si>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</si>
  <si>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</si>
  <si>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</si>
  <si>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</si>
  <si>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</si>
  <si>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</si>
  <si>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</si>
  <si>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</si>
  <si>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</si>
  <si>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</si>
  <si>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</si>
  <si>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</si>
  <si>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</si>
  <si>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</si>
  <si>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</si>
  <si>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</si>
  <si>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</si>
  <si>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</si>
  <si>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</si>
  <si>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</si>
  <si>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</si>
  <si>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</si>
  <si>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</si>
  <si>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</si>
  <si>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</si>
  <si>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</si>
  <si>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</si>
  <si>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</si>
  <si>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</si>
  <si>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</si>
  <si>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</si>
  <si>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</si>
  <si>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</si>
  <si>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</si>
  <si>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</si>
  <si>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</si>
  <si>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</si>
  <si>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</si>
  <si>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</si>
  <si>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</si>
  <si>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</si>
  <si>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</si>
  <si>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</si>
  <si>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</si>
  <si>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</si>
  <si>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</si>
  <si>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</si>
  <si>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</si>
  <si>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</si>
  <si>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</si>
  <si>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</si>
  <si>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</si>
  <si>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</si>
  <si>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</si>
  <si>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</si>
  <si>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</si>
  <si>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</si>
  <si>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</si>
  <si>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</si>
  <si>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</si>
  <si>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</si>
  <si>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</si>
  <si>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</si>
  <si>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</si>
  <si>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</si>
  <si>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</si>
  <si>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</si>
  <si>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</si>
  <si>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</si>
  <si>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</si>
  <si>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</si>
  <si>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</si>
  <si>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</si>
  <si>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</si>
  <si>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</si>
  <si>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</si>
  <si>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</si>
  <si>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</si>
  <si>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</si>
  <si>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</si>
  <si>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</si>
  <si>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</si>
  <si>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</si>
  <si>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</si>
  <si>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</si>
  <si>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</si>
  <si>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</si>
  <si>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</si>
  <si>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</si>
  <si>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</si>
  <si>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</si>
  <si>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</si>
  <si>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</si>
  <si>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</si>
  <si>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</si>
  <si>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</si>
  <si>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</si>
  <si>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</si>
  <si>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</si>
  <si>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</si>
  <si>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</si>
  <si>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</si>
  <si>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</si>
  <si>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</si>
  <si>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</si>
  <si>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</si>
  <si>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</si>
  <si>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</si>
  <si>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</si>
  <si>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</si>
  <si>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</si>
  <si>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</si>
  <si>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</si>
  <si>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</si>
  <si>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</si>
  <si>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</si>
  <si>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</si>
  <si>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</si>
  <si>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</si>
  <si>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</si>
  <si>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</si>
  <si>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</si>
  <si>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</si>
  <si>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</si>
  <si>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</si>
  <si>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</si>
  <si>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</si>
  <si>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</si>
  <si>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</si>
  <si>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</si>
  <si>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</si>
  <si>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</si>
  <si>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</si>
  <si>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</si>
  <si>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</si>
  <si>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</si>
  <si>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</si>
  <si>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</si>
  <si>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</si>
  <si>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</si>
  <si>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</si>
  <si>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</si>
  <si>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</si>
  <si>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</si>
  <si>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</si>
  <si>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</si>
  <si>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</si>
  <si>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</si>
  <si>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</si>
  <si>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</si>
  <si>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</si>
  <si>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</si>
  <si>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</si>
  <si>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</si>
  <si>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</si>
  <si>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</si>
  <si>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</si>
  <si>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</si>
  <si>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</si>
  <si>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</si>
  <si>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</si>
  <si>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</si>
  <si>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</si>
  <si>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</si>
  <si>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</si>
  <si>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</si>
  <si>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</si>
  <si>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</si>
  <si>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</si>
  <si>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</si>
  <si>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</si>
  <si>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</si>
  <si>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</si>
  <si>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</si>
  <si>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</si>
  <si>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</si>
  <si>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</si>
  <si>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</si>
  <si>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</si>
  <si>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</si>
  <si>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</si>
  <si>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</si>
  <si>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</si>
  <si>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</si>
  <si>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</si>
  <si>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</si>
  <si>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</si>
  <si>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</si>
  <si>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</si>
  <si>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</si>
  <si>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</si>
  <si>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</si>
  <si>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</si>
  <si>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</si>
  <si>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</si>
  <si>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</si>
  <si>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</si>
  <si>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</si>
  <si>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</si>
  <si>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</si>
  <si>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</si>
  <si>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</si>
  <si>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</si>
  <si>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</si>
  <si>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</si>
  <si>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</si>
  <si>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</si>
  <si>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</si>
  <si>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</si>
  <si>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</si>
  <si>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</si>
  <si>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</si>
  <si>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</si>
  <si>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</si>
  <si>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</si>
  <si>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</si>
  <si>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</si>
  <si>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</si>
  <si>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</si>
  <si>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</si>
  <si>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</si>
  <si>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</si>
  <si>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</si>
  <si>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</si>
  <si>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</si>
  <si>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</si>
  <si>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</si>
  <si>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</si>
  <si>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</si>
  <si>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</si>
  <si>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</si>
  <si>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</si>
  <si>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</si>
  <si>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</si>
  <si>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</si>
  <si>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</si>
  <si>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</si>
  <si>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</si>
  <si>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</si>
  <si>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</si>
  <si>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</si>
  <si>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</si>
  <si>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</si>
  <si>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</si>
  <si>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</si>
  <si>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</si>
  <si>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</si>
  <si>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</si>
  <si>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</si>
  <si>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</si>
  <si>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</si>
  <si>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</si>
  <si>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</si>
  <si>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</si>
  <si>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</si>
  <si>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</si>
  <si>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</si>
  <si>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</si>
  <si>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</si>
  <si>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</si>
  <si>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</si>
  <si>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</si>
  <si>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</si>
  <si>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</si>
  <si>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</si>
  <si>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</si>
  <si>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</si>
  <si>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</si>
  <si>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</si>
  <si>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</si>
  <si>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</si>
  <si>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</si>
  <si>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</si>
  <si>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</si>
  <si>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</si>
  <si>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</si>
  <si>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</si>
  <si>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</si>
  <si>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</si>
  <si>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</si>
  <si>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</si>
  <si>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</si>
  <si>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</si>
  <si>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</si>
  <si>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</si>
  <si>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</si>
  <si>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</si>
  <si>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</si>
  <si>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</si>
  <si>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</si>
  <si>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</si>
  <si>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</si>
  <si>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</si>
  <si>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</si>
  <si>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</si>
  <si>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</si>
  <si>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</si>
  <si>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</si>
  <si>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</si>
  <si>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</si>
  <si>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</si>
  <si>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</si>
  <si>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</si>
  <si>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</si>
  <si>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</si>
  <si>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</si>
  <si>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</si>
  <si>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</si>
  <si>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</si>
  <si>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</si>
  <si>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</si>
  <si>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</si>
  <si>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</si>
  <si>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</si>
  <si>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</si>
  <si>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</si>
  <si>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</si>
  <si>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</si>
  <si>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</si>
  <si>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</si>
  <si>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</si>
  <si>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</si>
  <si>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</si>
  <si>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</si>
  <si>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</si>
  <si>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</si>
  <si>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</si>
  <si>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</si>
  <si>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</si>
  <si>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</si>
  <si>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</si>
  <si>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</si>
  <si>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</si>
  <si>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</si>
  <si>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</si>
  <si>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</si>
  <si>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</si>
  <si>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</si>
  <si>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</si>
  <si>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</si>
  <si>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</si>
  <si>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</si>
  <si>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</si>
  <si>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</si>
  <si>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</si>
  <si>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</si>
  <si>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</si>
  <si>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</si>
  <si>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</si>
  <si>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</si>
  <si>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</si>
  <si>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</si>
  <si>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</si>
  <si>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</si>
  <si>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</si>
  <si>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</si>
  <si>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</si>
  <si>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</si>
  <si>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</si>
  <si>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</si>
  <si>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</si>
  <si>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</si>
  <si>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</si>
  <si>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</si>
  <si>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</si>
  <si>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</si>
  <si>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</si>
  <si>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</si>
  <si>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</si>
  <si>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</si>
  <si>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</si>
  <si>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</si>
  <si>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</si>
  <si>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</si>
  <si>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</si>
  <si>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</si>
  <si>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</si>
  <si>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</si>
  <si>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</si>
  <si>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</si>
  <si>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</si>
  <si>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</si>
  <si>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</si>
  <si>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</si>
  <si>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</si>
  <si>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</si>
  <si>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</si>
  <si>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</si>
  <si>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</si>
  <si>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</si>
  <si>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</si>
  <si>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</si>
  <si>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</si>
  <si>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</si>
  <si>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</si>
  <si>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</si>
  <si>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</si>
  <si>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</si>
  <si>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</si>
  <si>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</si>
  <si>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</si>
  <si>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</si>
  <si>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</si>
  <si>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</si>
  <si>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</si>
  <si>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</si>
  <si>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</si>
  <si>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</si>
  <si>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</si>
  <si>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</si>
  <si>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</si>
  <si>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</si>
  <si>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</si>
  <si>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</si>
  <si>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</si>
  <si>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</si>
  <si>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</si>
  <si>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</si>
  <si>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</si>
  <si>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</si>
  <si>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</si>
  <si>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</si>
  <si>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</si>
  <si>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</si>
  <si>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</si>
  <si>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</si>
  <si>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</si>
  <si>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</si>
  <si>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</si>
  <si>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</si>
  <si>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</si>
  <si>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</si>
  <si>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</si>
  <si>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</si>
  <si>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</si>
  <si>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</si>
  <si>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</si>
  <si>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</si>
  <si>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</si>
  <si>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</si>
  <si>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</si>
  <si>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</si>
  <si>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</si>
  <si>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</si>
  <si>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</si>
  <si>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</si>
  <si>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</si>
  <si>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</si>
  <si>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</si>
  <si>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</si>
  <si>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</si>
  <si>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</si>
  <si>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</si>
  <si>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</si>
  <si>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</si>
  <si>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</si>
  <si>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</si>
  <si>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</si>
  <si>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</si>
  <si>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</si>
  <si>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</si>
  <si>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</si>
  <si>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</si>
  <si>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</si>
  <si>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</si>
  <si>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</si>
  <si>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</si>
  <si>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</si>
  <si>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</si>
  <si>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</si>
  <si>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</si>
  <si>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</si>
  <si>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</si>
  <si>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</si>
  <si>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</si>
  <si>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</si>
  <si>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</si>
  <si>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</si>
  <si>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</si>
  <si>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</si>
  <si>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</si>
  <si>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</si>
  <si>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</si>
  <si>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</si>
  <si>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</si>
  <si>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</si>
  <si>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</si>
  <si>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</si>
  <si>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</si>
  <si>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</si>
  <si>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</si>
  <si>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</si>
  <si>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</si>
  <si>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</si>
  <si>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</si>
  <si>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</si>
  <si>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</si>
  <si>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</si>
  <si>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</si>
  <si>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</si>
  <si>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</si>
  <si>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</si>
  <si>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</si>
  <si>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</si>
  <si>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</si>
  <si>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</si>
  <si>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</si>
  <si>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</si>
  <si>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</si>
  <si>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</si>
  <si>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</si>
  <si>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</si>
  <si>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</si>
  <si>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</si>
  <si>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</si>
  <si>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</si>
  <si>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</si>
  <si>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</si>
  <si>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</si>
  <si>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</si>
  <si>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</si>
  <si>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</si>
  <si>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</si>
  <si>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</si>
  <si>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</si>
  <si>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</si>
  <si>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</si>
  <si>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</si>
  <si>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</si>
  <si>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</si>
  <si>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</si>
  <si>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</si>
  <si>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</si>
  <si>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</si>
  <si>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</si>
  <si>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</si>
  <si>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</si>
  <si>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</si>
  <si>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</si>
  <si>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</si>
  <si>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</si>
  <si>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</si>
  <si>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</si>
  <si>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</si>
  <si>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</si>
  <si>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</si>
  <si>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</si>
  <si>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</si>
  <si>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</si>
  <si>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</si>
  <si>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</si>
  <si>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</si>
  <si>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</si>
  <si>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</si>
  <si>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</si>
  <si>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</si>
  <si>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</si>
  <si>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</si>
  <si>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</si>
  <si>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</si>
  <si>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</si>
  <si>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</si>
  <si>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</si>
  <si>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</si>
  <si>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</si>
  <si>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</si>
  <si>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</si>
  <si>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</si>
  <si>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</si>
  <si>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</si>
  <si>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</si>
  <si>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</si>
  <si>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</si>
  <si>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</si>
  <si>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</si>
  <si>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</si>
  <si>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</si>
  <si>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</si>
  <si>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</si>
  <si>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</si>
  <si>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</si>
  <si>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</si>
  <si>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</si>
  <si>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</si>
  <si>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</si>
  <si>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</si>
  <si>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</si>
  <si>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</si>
  <si>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</si>
  <si>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</si>
  <si>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</si>
  <si>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</si>
  <si>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</si>
  <si>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</si>
  <si>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</si>
  <si>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</si>
  <si>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</si>
  <si>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</si>
  <si>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</si>
  <si>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</si>
  <si>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</si>
  <si>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</si>
  <si>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</si>
  <si>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</si>
  <si>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</si>
  <si>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</si>
  <si>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</si>
  <si>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</si>
  <si>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</si>
  <si>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</si>
  <si>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</si>
  <si>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</si>
  <si>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</si>
  <si>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</si>
  <si>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</si>
  <si>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</si>
  <si>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</si>
  <si>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</si>
  <si>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</si>
  <si>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</si>
  <si>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</si>
  <si>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</si>
  <si>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</si>
  <si>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</si>
  <si>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</si>
  <si>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</si>
  <si>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</si>
  <si>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</si>
  <si>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</si>
  <si>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</si>
  <si>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</si>
  <si>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</si>
  <si>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</si>
  <si>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</si>
  <si>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</si>
  <si>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</si>
  <si>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</si>
  <si>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</si>
  <si>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</si>
  <si>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</si>
  <si>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</si>
  <si>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</si>
  <si>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</si>
  <si>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</si>
  <si>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</si>
  <si>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</si>
  <si>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</si>
  <si>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</si>
  <si>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</si>
  <si>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</si>
  <si>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</si>
  <si>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</si>
  <si>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</si>
  <si>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</si>
  <si>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</si>
  <si>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</si>
  <si>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</si>
  <si>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</si>
  <si>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</si>
  <si>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</si>
  <si>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</si>
  <si>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</si>
  <si>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</si>
  <si>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</si>
  <si>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</si>
  <si>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</si>
  <si>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</si>
  <si>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</si>
  <si>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</si>
  <si>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</si>
  <si>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</si>
  <si>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</si>
  <si>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</si>
  <si>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</si>
  <si>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</si>
  <si>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</si>
  <si>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</si>
  <si>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</si>
  <si>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</si>
  <si>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</si>
  <si>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</si>
  <si>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</si>
  <si>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</si>
  <si>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</si>
  <si>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</si>
  <si>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</si>
  <si>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</si>
  <si>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</si>
  <si>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</si>
  <si>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</si>
  <si>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</si>
  <si>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</si>
  <si>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</si>
  <si>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</si>
  <si>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</si>
  <si>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</si>
  <si>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</si>
  <si>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</si>
  <si>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</si>
  <si>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</si>
  <si>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</si>
  <si>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</si>
  <si>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</si>
  <si>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</si>
  <si>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</si>
  <si>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</si>
  <si>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</si>
  <si>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</si>
  <si>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</si>
  <si>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</si>
  <si>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</si>
  <si>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</si>
  <si>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</si>
  <si>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</si>
  <si>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</si>
  <si>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</si>
  <si>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</si>
  <si>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</si>
  <si>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</si>
  <si>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</si>
  <si>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</si>
  <si>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</si>
  <si>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</si>
  <si>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</si>
  <si>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</si>
  <si>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</si>
  <si>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</si>
  <si>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</si>
  <si>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</si>
  <si>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</si>
  <si>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</si>
  <si>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</si>
  <si>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</si>
  <si>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</si>
  <si>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</si>
  <si>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</si>
  <si>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</si>
  <si>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</si>
  <si>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</si>
  <si>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</si>
  <si>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</si>
  <si>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</si>
  <si>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</si>
  <si>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</si>
  <si>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</si>
  <si>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</si>
  <si>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</si>
  <si>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</si>
  <si>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</si>
  <si>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</si>
  <si>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</si>
  <si>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</si>
  <si>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</si>
  <si>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</si>
  <si>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</si>
  <si>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</si>
  <si>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</si>
  <si>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</si>
  <si>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</si>
  <si>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</si>
  <si>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</si>
  <si>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</si>
  <si>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</si>
  <si>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</si>
  <si>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</si>
  <si>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</si>
  <si>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</si>
  <si>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</si>
  <si>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</si>
  <si>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</si>
  <si>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</si>
  <si>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</si>
  <si>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</si>
  <si>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</si>
  <si>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</si>
  <si>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</si>
  <si>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</si>
  <si>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</si>
  <si>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</si>
  <si>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</si>
  <si>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</si>
  <si>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</si>
  <si>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</si>
  <si>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</si>
  <si>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</si>
  <si>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</si>
  <si>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</si>
  <si>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</si>
  <si>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</si>
  <si>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</si>
  <si>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</si>
  <si>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</si>
  <si>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</si>
  <si>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</si>
  <si>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</si>
  <si>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</si>
  <si>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</si>
  <si>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</si>
  <si>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</si>
  <si>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</si>
  <si>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</si>
  <si>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</si>
  <si>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</si>
  <si>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</si>
  <si>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</si>
  <si>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</si>
  <si>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</si>
  <si>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</si>
  <si>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</si>
  <si>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</si>
  <si>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</si>
  <si>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</si>
  <si>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</si>
  <si>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</si>
  <si>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</si>
  <si>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</si>
  <si>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</si>
  <si>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</si>
  <si>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</si>
  <si>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</si>
  <si>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</si>
  <si>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</si>
  <si>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</si>
  <si>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</si>
  <si>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</si>
  <si>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</si>
  <si>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</si>
  <si>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</si>
  <si>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</si>
  <si>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</si>
  <si>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</si>
  <si>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</si>
  <si>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</si>
  <si>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</si>
  <si>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</si>
  <si>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</si>
  <si>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</si>
  <si>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</si>
  <si>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</si>
  <si>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</si>
  <si>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</si>
  <si>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</si>
  <si>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</si>
  <si>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</si>
  <si>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</si>
  <si>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</si>
  <si>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</si>
  <si>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</si>
  <si>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</si>
  <si>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</si>
  <si>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</si>
  <si>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</si>
  <si>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</si>
  <si>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</si>
  <si>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</si>
  <si>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</si>
  <si>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</si>
  <si>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</si>
  <si>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</si>
  <si>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</si>
  <si>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</si>
  <si>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</si>
  <si>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</si>
  <si>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</si>
  <si>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</si>
  <si>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</si>
  <si>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</si>
  <si>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</si>
  <si>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</si>
  <si>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</si>
  <si>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</si>
  <si>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</si>
  <si>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</si>
  <si>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</si>
  <si>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</si>
  <si>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</si>
  <si>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</si>
  <si>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</si>
  <si>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</si>
  <si>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</si>
  <si>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</si>
  <si>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</si>
  <si>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</si>
  <si>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</si>
  <si>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</si>
  <si>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</si>
  <si>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</si>
  <si>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</si>
  <si>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</si>
  <si>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</si>
  <si>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</si>
  <si>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</si>
  <si>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</si>
  <si>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</si>
  <si>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</si>
  <si>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</si>
  <si>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</si>
  <si>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</si>
  <si>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</si>
  <si>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</si>
  <si>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</si>
  <si>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</si>
  <si>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</si>
  <si>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</si>
  <si>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</si>
  <si>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</si>
  <si>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</si>
  <si>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</si>
  <si>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</si>
  <si>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</si>
  <si>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</si>
  <si>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</si>
  <si>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</si>
  <si>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</si>
  <si>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</si>
  <si>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</si>
  <si>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</si>
  <si>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</si>
  <si>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</si>
  <si>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</si>
  <si>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</si>
  <si>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</si>
  <si>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</si>
  <si>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</si>
  <si>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</si>
  <si>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</si>
  <si>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</si>
  <si>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</si>
  <si>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</si>
  <si>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</si>
  <si>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</si>
  <si>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</si>
  <si>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</si>
  <si>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</si>
  <si>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</si>
  <si>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</si>
  <si>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</si>
  <si>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</si>
  <si>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</si>
  <si>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</si>
  <si>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</si>
  <si>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</si>
  <si>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</si>
  <si>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</si>
  <si>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</si>
  <si>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</si>
  <si>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</si>
  <si>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</si>
  <si>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</si>
  <si>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</si>
  <si>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</si>
  <si>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</si>
  <si>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</si>
  <si>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</si>
  <si>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</si>
  <si>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</si>
  <si>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</si>
  <si>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</si>
  <si>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</si>
  <si>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</si>
  <si>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</si>
  <si>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</si>
  <si>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</si>
  <si>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</si>
  <si>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</si>
  <si>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</si>
  <si>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</si>
  <si>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</si>
  <si>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</si>
  <si>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</si>
  <si>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</si>
  <si>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</si>
  <si>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</si>
  <si>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</si>
  <si>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</si>
  <si>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</si>
  <si>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</si>
  <si>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</si>
  <si>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</si>
  <si>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</si>
  <si>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</si>
  <si>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</si>
  <si>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</si>
  <si>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</si>
  <si>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</si>
  <si>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</si>
  <si>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</si>
  <si>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</si>
  <si>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</si>
  <si>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</si>
  <si>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</si>
  <si>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</si>
  <si>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</si>
  <si>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</si>
  <si>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</si>
  <si>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</si>
  <si>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</si>
  <si>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</si>
  <si>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</si>
  <si>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</si>
  <si>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</si>
  <si>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</si>
  <si>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</si>
  <si>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</si>
  <si>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</si>
  <si>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</si>
  <si>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</si>
  <si>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</si>
  <si>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</si>
  <si>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</si>
  <si>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</si>
  <si>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</si>
  <si>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</si>
  <si>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</si>
  <si>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</si>
  <si>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</si>
  <si>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</si>
  <si>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</si>
  <si>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</si>
  <si>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</si>
  <si>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</si>
  <si>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</si>
  <si>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</si>
  <si>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</si>
  <si>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</si>
  <si>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</si>
  <si>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</si>
  <si>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</si>
  <si>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</si>
  <si>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</si>
  <si>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</si>
  <si>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</si>
  <si>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</si>
  <si>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</si>
  <si>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</si>
  <si>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</si>
  <si>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</si>
  <si>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</si>
  <si>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</si>
  <si>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</si>
  <si>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</si>
  <si>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</si>
  <si>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</si>
  <si>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</si>
  <si>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</si>
  <si>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</si>
  <si>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</si>
  <si>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</si>
  <si>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</si>
  <si>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</si>
  <si>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</si>
  <si>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</si>
  <si>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</si>
  <si>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</si>
  <si>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</si>
  <si>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</si>
  <si>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</si>
  <si>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</si>
  <si>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</si>
  <si>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</si>
  <si>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</si>
  <si>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</si>
  <si>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</si>
  <si>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</si>
  <si>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</si>
  <si>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</si>
  <si>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</si>
  <si>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</si>
  <si>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</si>
  <si>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</si>
  <si>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</si>
  <si>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</si>
  <si>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</si>
  <si>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</si>
  <si>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</si>
  <si>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</si>
  <si>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</si>
  <si>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</si>
  <si>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</si>
  <si>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</si>
  <si>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</si>
  <si>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</si>
  <si>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</si>
  <si>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</si>
  <si>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</si>
  <si>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</si>
  <si>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</si>
  <si>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</si>
  <si>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</si>
  <si>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</si>
  <si>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</si>
  <si>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</si>
  <si>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</si>
  <si>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</si>
  <si>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</si>
  <si>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</si>
  <si>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</si>
  <si>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</si>
  <si>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</si>
  <si>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</si>
  <si>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</si>
  <si>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</si>
  <si>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</si>
  <si>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</si>
  <si>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</si>
  <si>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</si>
  <si>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</si>
  <si>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</si>
  <si>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</si>
  <si>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</si>
  <si>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</si>
  <si>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</si>
  <si>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</si>
  <si>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</si>
  <si>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</si>
  <si>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</si>
  <si>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</si>
  <si>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</si>
  <si>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</si>
  <si>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</si>
  <si>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</si>
  <si>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</si>
  <si>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</si>
  <si>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</si>
  <si>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</si>
  <si>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</si>
  <si>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</si>
  <si>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</si>
  <si>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</si>
  <si>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</si>
  <si>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</si>
  <si>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</si>
  <si>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</si>
  <si>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</si>
  <si>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</si>
  <si>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</si>
  <si>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</si>
  <si>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</si>
  <si>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</si>
  <si>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</si>
  <si>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</si>
  <si>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</si>
  <si>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</si>
  <si>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</si>
  <si>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</si>
  <si>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</si>
  <si>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</si>
  <si>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</si>
  <si>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</si>
  <si>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</si>
  <si>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</si>
  <si>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</si>
  <si>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</si>
  <si>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</si>
  <si>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</si>
  <si>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</si>
  <si>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</si>
  <si>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</si>
  <si>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</si>
  <si>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</si>
  <si>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</si>
  <si>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</si>
  <si>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</si>
  <si>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</si>
  <si>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</si>
  <si>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</si>
  <si>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</si>
  <si>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</si>
  <si>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</si>
  <si>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</si>
  <si>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</si>
  <si>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</si>
  <si>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</si>
  <si>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</si>
  <si>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</si>
  <si>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</si>
  <si>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</si>
  <si>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</si>
  <si>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</si>
  <si>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</si>
  <si>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</si>
  <si>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</si>
  <si>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</si>
  <si>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</si>
  <si>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</si>
  <si>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</si>
  <si>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</si>
  <si>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</si>
  <si>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</si>
  <si>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</si>
  <si>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</si>
  <si>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</si>
  <si>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</si>
  <si>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</si>
  <si>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</si>
  <si>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</si>
  <si>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</si>
  <si>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</si>
  <si>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</si>
  <si>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</si>
  <si>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</si>
  <si>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</si>
  <si>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</si>
  <si>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</si>
  <si>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</si>
  <si>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</si>
  <si>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</si>
  <si>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</si>
  <si>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</si>
  <si>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</si>
  <si>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</si>
  <si>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</si>
  <si>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</si>
  <si>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</si>
  <si>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</si>
  <si>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</si>
  <si>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</si>
  <si>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</si>
  <si>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</si>
  <si>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</si>
  <si>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</si>
  <si>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</si>
  <si>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</si>
  <si>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</si>
  <si>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</si>
  <si>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</si>
  <si>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</si>
  <si>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</si>
  <si>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</si>
  <si>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</si>
  <si>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</si>
  <si>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</si>
  <si>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</si>
  <si>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</si>
  <si>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</si>
  <si>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</si>
  <si>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</si>
  <si>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</si>
  <si>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</si>
  <si>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</si>
  <si>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</si>
  <si>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</si>
  <si>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</si>
  <si>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</si>
  <si>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</si>
  <si>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</si>
  <si>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</si>
  <si>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</si>
  <si>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</si>
  <si>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</si>
  <si>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</si>
  <si>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</si>
  <si>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</si>
  <si>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</si>
  <si>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</si>
  <si>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</si>
  <si>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</si>
  <si>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</si>
  <si>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</si>
  <si>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</si>
  <si>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</si>
  <si>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</si>
  <si>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</si>
  <si>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</si>
  <si>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</si>
  <si>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</si>
  <si>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</si>
  <si>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</si>
  <si>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</si>
  <si>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</si>
  <si>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</si>
  <si>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</si>
  <si>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</si>
  <si>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</si>
  <si>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</si>
  <si>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</si>
  <si>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</si>
  <si>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</si>
  <si>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</si>
  <si>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</si>
  <si>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</si>
  <si>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</si>
  <si>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</si>
  <si>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</si>
  <si>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</si>
  <si>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</si>
  <si>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</si>
  <si>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</si>
  <si>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</si>
  <si>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</si>
  <si>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</si>
  <si>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</si>
  <si>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</si>
  <si>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</si>
  <si>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</si>
  <si>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</si>
  <si>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</si>
  <si>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</si>
  <si>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</si>
  <si>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</si>
  <si>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</si>
  <si>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</si>
  <si>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</si>
  <si>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</si>
  <si>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</si>
  <si>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</si>
  <si>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</si>
  <si>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</si>
  <si>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</si>
  <si>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</si>
  <si>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</si>
  <si>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</si>
  <si>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</si>
  <si>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</si>
  <si>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</si>
  <si>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</si>
  <si>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</si>
  <si>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</si>
  <si>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</si>
  <si>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</si>
  <si>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</si>
  <si>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</si>
  <si>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</si>
  <si>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</si>
  <si>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</si>
  <si>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</si>
  <si>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</si>
  <si>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</si>
  <si>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</si>
  <si>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</si>
  <si>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</si>
  <si>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</si>
  <si>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</si>
  <si>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</si>
  <si>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</si>
  <si>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</si>
  <si>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</si>
  <si>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</si>
  <si>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</si>
  <si>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</si>
  <si>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</si>
  <si>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</si>
  <si>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</si>
  <si>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</si>
  <si>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</si>
  <si>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</si>
  <si>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</si>
  <si>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</si>
  <si>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</si>
  <si>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</si>
  <si>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</si>
  <si>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</si>
  <si>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</si>
  <si>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</si>
  <si>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</si>
  <si>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</si>
  <si>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</si>
  <si>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</si>
  <si>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</si>
  <si>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</si>
  <si>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</si>
  <si>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</si>
  <si>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</si>
  <si>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</si>
  <si>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</si>
  <si>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</si>
  <si>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</si>
  <si>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</si>
  <si>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</si>
  <si>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</si>
  <si>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</si>
  <si>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</si>
  <si>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</si>
  <si>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</si>
  <si>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</si>
  <si>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</si>
  <si>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</si>
  <si>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</si>
  <si>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</si>
  <si>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</si>
  <si>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</si>
  <si>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</si>
  <si>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</si>
  <si>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</si>
  <si>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</si>
  <si>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</si>
  <si>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</si>
  <si>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</si>
  <si>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</si>
  <si>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</si>
  <si>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</si>
  <si>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</si>
  <si>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</si>
  <si>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</si>
  <si>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</si>
  <si>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</si>
  <si>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</si>
  <si>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</si>
  <si>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</si>
  <si>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</si>
  <si>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</si>
  <si>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</si>
  <si>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</si>
  <si>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</si>
  <si>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</si>
  <si>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</si>
  <si>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</si>
  <si>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</si>
  <si>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</si>
  <si>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</si>
  <si>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</si>
  <si>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</si>
  <si>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</si>
  <si>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</si>
  <si>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</si>
  <si>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</si>
  <si>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</si>
  <si>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</si>
  <si>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</si>
  <si>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</si>
  <si>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</si>
  <si>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</si>
  <si>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</si>
  <si>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</si>
  <si>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</si>
  <si>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</si>
  <si>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</si>
  <si>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</si>
  <si>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</si>
  <si>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</si>
  <si>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</si>
  <si>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</si>
  <si>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</si>
  <si>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</si>
  <si>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</si>
  <si>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</si>
  <si>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</si>
  <si>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</si>
  <si>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</si>
  <si>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</si>
  <si>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</si>
  <si>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</si>
  <si>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</si>
  <si>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</si>
  <si>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</si>
  <si>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</si>
  <si>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</si>
  <si>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</si>
  <si>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</si>
  <si>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</si>
  <si>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</si>
  <si>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</si>
  <si>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</si>
  <si>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</si>
  <si>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</si>
  <si>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</si>
  <si>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</si>
  <si>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</si>
  <si>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</si>
  <si>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</si>
  <si>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</si>
  <si>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</si>
  <si>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</si>
  <si>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</si>
  <si>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</si>
  <si>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</si>
  <si>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</si>
  <si>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</si>
  <si>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</si>
  <si>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</si>
  <si>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</si>
  <si>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</si>
  <si>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</si>
  <si>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</si>
  <si>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</si>
  <si>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</si>
  <si>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</si>
  <si>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</si>
  <si>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</si>
  <si>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</si>
  <si>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</si>
  <si>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</si>
  <si>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</si>
  <si>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</si>
  <si>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</si>
  <si>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</si>
  <si>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</si>
  <si>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</si>
  <si>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</si>
  <si>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</si>
  <si>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</si>
  <si>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</si>
  <si>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</si>
  <si>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</si>
  <si>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</si>
  <si>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</si>
  <si>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</si>
  <si>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</si>
  <si>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</si>
  <si>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</si>
  <si>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</si>
  <si>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</si>
  <si>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</si>
  <si>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</si>
  <si>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</si>
  <si>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</si>
  <si>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</si>
  <si>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</si>
  <si>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</si>
  <si>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</si>
  <si>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</si>
  <si>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</si>
  <si>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</si>
  <si>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</si>
  <si>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</si>
  <si>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</si>
  <si>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</si>
  <si>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</si>
  <si>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</si>
  <si>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</si>
  <si>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</si>
  <si>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</si>
  <si>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</si>
  <si>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</si>
  <si>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</si>
  <si>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</si>
  <si>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</si>
  <si>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</si>
  <si>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</si>
  <si>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</si>
  <si>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</si>
  <si>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</si>
  <si>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</si>
  <si>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</si>
  <si>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</si>
  <si>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</si>
  <si>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</si>
  <si>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</si>
  <si>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</si>
  <si>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</si>
  <si>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</si>
  <si>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</si>
  <si>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</si>
  <si>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</si>
  <si>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</si>
  <si>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</si>
  <si>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</si>
  <si>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</si>
  <si>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</si>
  <si>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</si>
  <si>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</si>
  <si>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</si>
  <si>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</si>
  <si>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</si>
  <si>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</si>
  <si>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</si>
  <si>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</si>
  <si>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</si>
  <si>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</si>
  <si>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</si>
  <si>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</si>
  <si>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</si>
  <si>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</si>
  <si>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</si>
  <si>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</si>
  <si>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</si>
  <si>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</si>
  <si>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</si>
  <si>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</si>
  <si>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</si>
  <si>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</si>
  <si>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</si>
  <si>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</si>
  <si>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</si>
  <si>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</si>
  <si>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</si>
  <si>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</si>
  <si>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</si>
  <si>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</si>
  <si>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</si>
  <si>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</si>
  <si>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</si>
  <si>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</si>
  <si>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</si>
  <si>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</si>
  <si>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</si>
  <si>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</si>
  <si>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</si>
  <si>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</si>
  <si>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</si>
  <si>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</si>
  <si>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</si>
  <si>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</si>
  <si>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</si>
  <si>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</si>
  <si>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</si>
  <si>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</si>
  <si>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</si>
  <si>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</si>
  <si>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</si>
  <si>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</si>
  <si>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</si>
  <si>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</si>
  <si>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</si>
  <si>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</si>
  <si>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</si>
  <si>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</si>
  <si>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</si>
  <si>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</si>
  <si>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</si>
  <si>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</si>
  <si>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</si>
  <si>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</si>
  <si>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</si>
  <si>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</si>
  <si>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</si>
  <si>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</si>
  <si>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</si>
  <si>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</si>
  <si>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</si>
  <si>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</si>
  <si>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</si>
  <si>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</si>
  <si>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</si>
  <si>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</si>
  <si>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</si>
  <si>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</si>
  <si>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</si>
  <si>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</si>
  <si>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</si>
  <si>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</si>
  <si>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</si>
  <si>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</si>
  <si>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</si>
  <si>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</si>
  <si>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</si>
  <si>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</si>
  <si>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</si>
  <si>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</si>
  <si>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</si>
  <si>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</si>
  <si>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</si>
  <si>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</si>
  <si>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</si>
  <si>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</si>
  <si>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</si>
  <si>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</si>
  <si>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</si>
  <si>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</si>
  <si>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</si>
  <si>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</si>
  <si>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</si>
  <si>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</si>
  <si>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</si>
  <si>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</si>
  <si>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</si>
  <si>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</si>
  <si>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</si>
  <si>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</si>
  <si>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</si>
  <si>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</si>
  <si>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</si>
  <si>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</si>
  <si>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</si>
  <si>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</si>
  <si>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</si>
  <si>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</si>
  <si>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</si>
  <si>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</si>
  <si>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</si>
  <si>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</si>
  <si>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</si>
  <si>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</si>
  <si>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</si>
  <si>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</si>
  <si>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</si>
  <si>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</si>
  <si>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</si>
  <si>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</si>
  <si>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</si>
  <si>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</si>
  <si>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</si>
  <si>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</si>
  <si>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</si>
  <si>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</si>
  <si>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</si>
  <si>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</si>
  <si>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</si>
  <si>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</si>
  <si>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</si>
  <si>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</si>
  <si>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</si>
  <si>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</si>
  <si>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</si>
  <si>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</si>
  <si>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</si>
  <si>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</si>
  <si>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</si>
  <si>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</si>
  <si>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</si>
  <si>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</si>
  <si>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</si>
  <si>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</si>
  <si>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</si>
  <si>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</si>
  <si>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</si>
  <si>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</si>
  <si>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</si>
  <si>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</si>
  <si>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</si>
  <si>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</si>
  <si>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</si>
  <si>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</si>
  <si>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</si>
  <si>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</si>
  <si>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</si>
  <si>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</si>
  <si>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</si>
  <si>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</si>
  <si>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</si>
  <si>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</si>
  <si>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</si>
  <si>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</si>
  <si>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</si>
  <si>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</si>
  <si>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</si>
  <si>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</si>
  <si>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</si>
  <si>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</si>
  <si>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</si>
  <si>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</si>
  <si>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</si>
  <si>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</si>
  <si>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</si>
  <si>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</si>
  <si>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</si>
  <si>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</si>
  <si>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</si>
  <si>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</si>
  <si>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</si>
  <si>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</si>
  <si>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</si>
  <si>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</si>
  <si>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</si>
  <si>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</si>
  <si>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</si>
  <si>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</si>
  <si>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</si>
  <si>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</si>
  <si>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</si>
  <si>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</si>
  <si>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</si>
  <si>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</si>
  <si>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</si>
  <si>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</si>
  <si>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</si>
  <si>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</si>
  <si>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</si>
  <si>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</si>
  <si>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</si>
  <si>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</si>
  <si>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</si>
  <si>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</si>
  <si>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</si>
  <si>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</si>
  <si>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</si>
  <si>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</si>
  <si>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</si>
  <si>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</si>
  <si>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</si>
  <si>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</si>
  <si>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</si>
  <si>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</si>
  <si>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</si>
  <si>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</si>
  <si>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</si>
  <si>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</si>
  <si>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</si>
  <si>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</si>
  <si>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</si>
  <si>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</si>
  <si>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</si>
  <si>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</si>
  <si>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</si>
  <si>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</si>
  <si>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</si>
  <si>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</si>
  <si>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</si>
  <si>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</si>
  <si>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</si>
  <si>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</si>
  <si>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</si>
  <si>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</si>
  <si>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</si>
  <si>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</si>
  <si>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</si>
  <si>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</si>
  <si>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</si>
  <si>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</si>
  <si>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</si>
  <si>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</si>
  <si>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</si>
  <si>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</si>
  <si>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</si>
  <si>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</si>
  <si>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</si>
  <si>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</si>
  <si>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</si>
  <si>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</si>
  <si>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</si>
  <si>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</si>
  <si>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</si>
  <si>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</si>
  <si>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</si>
  <si>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</si>
  <si>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</si>
  <si>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</si>
  <si>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</si>
  <si>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</si>
  <si>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</si>
  <si>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</si>
  <si>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</si>
  <si>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</si>
  <si>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</si>
  <si>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</si>
  <si>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</si>
  <si>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</si>
  <si>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</si>
  <si>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</si>
  <si>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</si>
  <si>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</si>
  <si>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</si>
  <si>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</si>
  <si>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</si>
  <si>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</si>
  <si>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</si>
  <si>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</si>
  <si>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</si>
  <si>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</si>
  <si>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</si>
  <si>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</si>
  <si>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</si>
  <si>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</si>
  <si>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</si>
  <si>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</si>
  <si>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</si>
  <si>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</si>
  <si>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</si>
  <si>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</si>
  <si>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</si>
  <si>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</si>
  <si>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</si>
  <si>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</si>
  <si>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</si>
  <si>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</si>
  <si>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</si>
  <si>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</si>
  <si>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</si>
  <si>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</si>
  <si>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</si>
  <si>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</si>
  <si>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</si>
  <si>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</si>
  <si>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</si>
  <si>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</si>
  <si>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</si>
  <si>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</si>
  <si>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</si>
  <si>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</si>
  <si>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</si>
  <si>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</si>
  <si>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</si>
  <si>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</si>
  <si>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</si>
  <si>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</si>
  <si>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</si>
  <si>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</si>
  <si>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</si>
  <si>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</si>
  <si>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</si>
  <si>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</si>
  <si>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</si>
  <si>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</si>
  <si>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</si>
  <si>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</si>
  <si>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</si>
  <si>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</si>
  <si>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</si>
  <si>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</si>
  <si>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</si>
  <si>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</si>
  <si>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</si>
  <si>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</si>
  <si>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</si>
  <si>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</si>
  <si>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</si>
  <si>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</si>
  <si>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</si>
  <si>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</si>
  <si>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</si>
  <si>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</si>
  <si>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</si>
  <si>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</si>
  <si>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</si>
  <si>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</si>
  <si>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</si>
  <si>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</si>
  <si>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</si>
  <si>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</si>
  <si>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</si>
  <si>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</si>
  <si>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</si>
  <si>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</si>
  <si>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</si>
  <si>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</si>
  <si>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</si>
  <si>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</si>
  <si>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</si>
  <si>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</si>
  <si>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</si>
  <si>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</si>
  <si>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</si>
  <si>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</si>
  <si>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</si>
  <si>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</si>
  <si>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</si>
  <si>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</si>
  <si>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</si>
  <si>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</si>
  <si>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</si>
  <si>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</si>
  <si>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</si>
  <si>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</si>
  <si>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</si>
  <si>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</si>
  <si>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</si>
  <si>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</si>
  <si>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</si>
  <si>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</si>
  <si>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</si>
  <si>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</si>
  <si>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</si>
  <si>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</si>
  <si>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</si>
  <si>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</si>
  <si>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</si>
  <si>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</si>
  <si>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</si>
  <si>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</si>
  <si>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</si>
  <si>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</si>
  <si>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</si>
  <si>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</si>
  <si>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</si>
  <si>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</si>
  <si>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</si>
  <si>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</si>
  <si>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</si>
  <si>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</si>
  <si>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</si>
  <si>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</si>
  <si>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</si>
  <si>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</si>
  <si>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</si>
  <si>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</si>
  <si>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</si>
  <si>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</si>
  <si>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</si>
  <si>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</si>
  <si>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</si>
  <si>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</si>
  <si>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</si>
  <si>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</si>
  <si>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</si>
  <si>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</si>
  <si>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</si>
  <si>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</si>
  <si>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</si>
  <si>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</si>
  <si>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</si>
  <si>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</si>
  <si>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</si>
  <si>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</si>
  <si>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</si>
  <si>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</si>
  <si>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</si>
  <si>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</si>
  <si>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</si>
  <si>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</si>
  <si>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</si>
  <si>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</si>
  <si>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</si>
  <si>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</si>
  <si>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</si>
  <si>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</si>
  <si>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</si>
  <si>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</si>
  <si>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</si>
  <si>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</si>
  <si>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</si>
  <si>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</si>
  <si>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</si>
  <si>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</si>
  <si>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</si>
  <si>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</si>
  <si>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</si>
  <si>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</si>
  <si>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</si>
  <si>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</si>
  <si>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</si>
  <si>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</si>
  <si>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</si>
  <si>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</si>
  <si>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</si>
  <si>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</si>
  <si>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</si>
  <si>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</si>
  <si>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</si>
  <si>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</si>
  <si>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</si>
  <si>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</si>
  <si>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</si>
  <si>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</si>
  <si>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</si>
  <si>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</si>
  <si>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</si>
  <si>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</si>
  <si>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</si>
  <si>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</si>
  <si>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</si>
  <si>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</si>
  <si>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</si>
  <si>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</si>
  <si>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</si>
  <si>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</si>
  <si>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</si>
  <si>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</si>
  <si>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</si>
  <si>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</si>
  <si>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</si>
  <si>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</si>
  <si>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</si>
  <si>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</si>
  <si>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</si>
  <si>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</si>
  <si>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</si>
  <si>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</si>
  <si>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</si>
  <si>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</si>
  <si>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</si>
  <si>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</si>
  <si>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</si>
  <si>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</si>
  <si>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</si>
  <si>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</si>
  <si>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</si>
  <si>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</si>
  <si>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</si>
  <si>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</si>
  <si>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</si>
  <si>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</si>
  <si>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</si>
  <si>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</si>
  <si>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</si>
  <si>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</si>
  <si>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</si>
  <si>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</si>
  <si>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</si>
  <si>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</si>
  <si>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</si>
  <si>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</si>
  <si>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</si>
  <si>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</si>
  <si>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</si>
  <si>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</si>
  <si>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</si>
  <si>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</si>
  <si>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</si>
  <si>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</si>
  <si>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</si>
  <si>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</si>
  <si>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</si>
  <si>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</si>
  <si>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</si>
  <si>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</si>
  <si>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</si>
  <si>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</si>
  <si>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</si>
  <si>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</si>
  <si>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</si>
  <si>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</si>
  <si>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</si>
  <si>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</si>
  <si>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</si>
  <si>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</si>
  <si>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</si>
  <si>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</si>
  <si>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</si>
  <si>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</si>
  <si>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</si>
  <si>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</si>
  <si>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</si>
  <si>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</si>
  <si>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</si>
  <si>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</si>
  <si>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</si>
  <si>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</si>
  <si>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</si>
  <si>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</si>
  <si>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</si>
  <si>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</si>
  <si>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</si>
  <si>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</si>
  <si>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</si>
  <si>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</si>
  <si>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</si>
  <si>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</si>
  <si>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</si>
  <si>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</si>
  <si>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</si>
  <si>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</si>
  <si>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</si>
  <si>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</si>
  <si>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</si>
  <si>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</si>
  <si>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</si>
  <si>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</si>
  <si>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</si>
  <si>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</si>
  <si>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</si>
  <si>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</si>
  <si>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</si>
  <si>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</si>
  <si>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</si>
  <si>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</si>
  <si>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</si>
  <si>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</si>
  <si>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</si>
  <si>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</si>
  <si>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</si>
  <si>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</si>
  <si>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</si>
  <si>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</si>
  <si>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</si>
  <si>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</si>
  <si>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</si>
  <si>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</si>
  <si>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</si>
  <si>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</si>
  <si>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</si>
  <si>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</si>
  <si>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</si>
  <si>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</si>
  <si>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</si>
  <si>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</si>
  <si>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</si>
  <si>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</si>
  <si>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</si>
  <si>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</si>
  <si>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</si>
  <si>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</si>
  <si>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</si>
  <si>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</si>
  <si>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</si>
  <si>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</si>
  <si>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</si>
  <si>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</si>
  <si>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</si>
  <si>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</si>
  <si>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</si>
  <si>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</si>
  <si>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</si>
  <si>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</si>
  <si>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</si>
  <si>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</si>
  <si>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</si>
  <si>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</si>
  <si>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</si>
  <si>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</si>
  <si>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</si>
  <si>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</si>
  <si>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</si>
  <si>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</si>
  <si>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</si>
  <si>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</si>
  <si>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</si>
  <si>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</si>
  <si>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</si>
  <si>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</si>
  <si>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</si>
  <si>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</si>
  <si>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</si>
  <si>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</si>
  <si>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</si>
  <si>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</si>
  <si>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</si>
  <si>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</si>
  <si>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</si>
  <si>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</si>
  <si>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</si>
  <si>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</si>
  <si>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</si>
  <si>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</si>
  <si>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</si>
  <si>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</si>
  <si>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</si>
  <si>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</si>
  <si>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</si>
  <si>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</si>
  <si>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</si>
  <si>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</si>
  <si>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</si>
  <si>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</si>
  <si>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</si>
  <si>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</si>
  <si>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</si>
  <si>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</si>
  <si>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</si>
  <si>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</si>
  <si>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</si>
  <si>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</si>
  <si>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</si>
  <si>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</si>
  <si>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</si>
  <si>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</si>
  <si>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</si>
  <si>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</si>
  <si>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</si>
  <si>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</si>
  <si>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</si>
  <si>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</si>
  <si>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</si>
  <si>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</si>
  <si>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</si>
  <si>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</si>
  <si>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</si>
  <si>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</si>
  <si>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</si>
  <si>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</si>
  <si>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</si>
  <si>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</si>
  <si>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</si>
  <si>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</si>
  <si>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</si>
  <si>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</si>
  <si>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</si>
  <si>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</si>
  <si>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</si>
  <si>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</si>
  <si>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</si>
  <si>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</si>
  <si>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</si>
  <si>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</si>
  <si>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</si>
  <si>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</si>
  <si>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</si>
  <si>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</si>
  <si>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</si>
  <si>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</si>
  <si>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</si>
  <si>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</si>
  <si>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</si>
  <si>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</si>
  <si>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</si>
  <si>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</si>
  <si>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</si>
  <si>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</si>
  <si>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</si>
  <si>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</si>
  <si>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</si>
  <si>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</si>
  <si>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</si>
  <si>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</si>
  <si>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</si>
  <si>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</si>
  <si>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</si>
  <si>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</si>
  <si>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</si>
  <si>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</si>
  <si>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</si>
  <si>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</si>
  <si>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</si>
  <si>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</si>
  <si>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</si>
  <si>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</si>
  <si>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</si>
  <si>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</si>
  <si>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</si>
  <si>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</si>
  <si>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</si>
  <si>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</si>
  <si>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</si>
  <si>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</si>
  <si>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</si>
  <si>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</si>
  <si>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</si>
  <si>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</si>
  <si>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</si>
  <si>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</si>
  <si>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</si>
  <si>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</si>
  <si>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</si>
  <si>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</si>
  <si>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</si>
  <si>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</si>
  <si>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</si>
  <si>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</si>
  <si>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</si>
  <si>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</si>
  <si>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</si>
  <si>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</si>
  <si>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</si>
  <si>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</si>
  <si>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</si>
  <si>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</si>
  <si>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</si>
  <si>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</si>
  <si>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</si>
  <si>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</si>
  <si>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</si>
  <si>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</si>
  <si>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</si>
  <si>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</si>
  <si>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</si>
  <si>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</si>
  <si>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</si>
  <si>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</si>
  <si>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</si>
  <si>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</si>
  <si>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</si>
  <si>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</si>
  <si>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</si>
  <si>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</si>
  <si>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</si>
  <si>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</si>
  <si>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</si>
  <si>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</si>
  <si>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</si>
  <si>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</si>
  <si>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</si>
  <si>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</si>
  <si>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</si>
  <si>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</si>
  <si>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</si>
  <si>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</si>
  <si>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</si>
  <si>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</si>
  <si>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</si>
  <si>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</si>
  <si>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</si>
  <si>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</si>
  <si>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</si>
  <si>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</si>
  <si>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</si>
  <si>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</si>
  <si>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</si>
  <si>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</si>
  <si>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</si>
  <si>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</si>
  <si>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</si>
  <si>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</si>
  <si>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</si>
  <si>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</si>
  <si>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</si>
  <si>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</si>
  <si>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</si>
  <si>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</si>
  <si>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</si>
  <si>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</si>
  <si>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</si>
  <si>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</si>
  <si>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</si>
  <si>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</si>
  <si>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</si>
  <si>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</si>
  <si>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</si>
  <si>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</si>
  <si>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</si>
  <si>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</si>
  <si>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</si>
  <si>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</si>
  <si>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</si>
  <si>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</si>
  <si>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</si>
  <si>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</si>
  <si>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</si>
  <si>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</si>
  <si>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</si>
  <si>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</si>
  <si>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</si>
  <si>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</si>
  <si>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</si>
  <si>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</si>
  <si>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</si>
  <si>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</si>
  <si>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</si>
  <si>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</si>
  <si>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</si>
  <si>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</si>
  <si>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</si>
  <si>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</si>
  <si>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</si>
  <si>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</si>
  <si>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</si>
  <si>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</si>
  <si>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</si>
  <si>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</si>
  <si>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</si>
  <si>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</si>
  <si>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</si>
  <si>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</si>
  <si>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</si>
  <si>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</si>
  <si>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</si>
  <si>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</si>
  <si>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</si>
  <si>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</si>
  <si>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</si>
  <si>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</si>
  <si>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</si>
  <si>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</si>
  <si>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</si>
  <si>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</si>
  <si>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</si>
  <si>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</si>
  <si>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</si>
  <si>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</si>
  <si>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</si>
  <si>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</si>
  <si>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</si>
  <si>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</si>
  <si>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</si>
  <si>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</si>
  <si>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</si>
  <si>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</si>
  <si>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</si>
  <si>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</si>
  <si>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</si>
  <si>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</si>
  <si>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</si>
  <si>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</si>
  <si>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</si>
  <si>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</si>
  <si>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</si>
  <si>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</si>
  <si>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</si>
  <si>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</si>
  <si>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</si>
  <si>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</si>
  <si>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</si>
  <si>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</si>
  <si>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</si>
  <si>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</si>
  <si>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</si>
  <si>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</si>
  <si>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</si>
  <si>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</si>
  <si>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</si>
  <si>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</si>
  <si>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</si>
  <si>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</si>
  <si>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</si>
  <si>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</si>
  <si>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</si>
  <si>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</si>
  <si>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</si>
  <si>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</si>
  <si>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</si>
  <si>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</si>
  <si>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</si>
  <si>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</si>
  <si>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</si>
  <si>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</si>
  <si>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</si>
  <si>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</si>
  <si>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</si>
  <si>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</si>
  <si>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</si>
  <si>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</si>
  <si>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</si>
  <si>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</si>
  <si>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</si>
  <si>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</si>
  <si>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</si>
  <si>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</si>
  <si>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</si>
  <si>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</si>
  <si>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</si>
  <si>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</si>
  <si>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</si>
  <si>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</si>
  <si>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</si>
  <si>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</si>
  <si>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</si>
  <si>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</si>
  <si>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</si>
  <si>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</si>
  <si>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</si>
  <si>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</si>
  <si>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</si>
  <si>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</si>
  <si>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</si>
  <si>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</si>
  <si>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</si>
  <si>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</si>
  <si>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</si>
  <si>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</si>
  <si>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</si>
  <si>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</si>
  <si>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</si>
  <si>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</si>
  <si>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</si>
  <si>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</si>
  <si>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</si>
  <si>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</si>
  <si>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</si>
  <si>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</si>
  <si>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</si>
  <si>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</si>
  <si>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</si>
  <si>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</si>
  <si>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</si>
  <si>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</si>
  <si>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</si>
  <si>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</si>
  <si>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</si>
  <si>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</si>
  <si>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</si>
  <si>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</si>
  <si>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</si>
  <si>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</si>
  <si>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</si>
  <si>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</si>
  <si>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</si>
  <si>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</si>
  <si>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</si>
  <si>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</si>
  <si>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</si>
  <si>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</si>
  <si>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</si>
  <si>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</si>
  <si>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</si>
  <si>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</si>
  <si>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</si>
  <si>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</si>
  <si>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</si>
  <si>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</si>
  <si>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</si>
  <si>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</si>
  <si>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</si>
  <si>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</si>
  <si>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</si>
  <si>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</si>
  <si>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</si>
  <si>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</si>
  <si>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</si>
  <si>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</si>
  <si>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</si>
  <si>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</si>
  <si>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</si>
  <si>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</si>
  <si>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</si>
  <si>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</si>
  <si>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</si>
  <si>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</si>
  <si>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</si>
  <si>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</si>
  <si>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</si>
  <si>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</si>
  <si>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</si>
  <si>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</si>
  <si>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</si>
  <si>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</si>
  <si>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</si>
  <si>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</si>
  <si>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</si>
  <si>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</si>
  <si>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</si>
  <si>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</si>
  <si>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</si>
  <si>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</si>
  <si>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</si>
  <si>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</si>
  <si>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</si>
  <si>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</si>
  <si>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</si>
  <si>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</si>
  <si>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</si>
  <si>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</si>
  <si>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</si>
  <si>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</si>
  <si>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</si>
  <si>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</si>
  <si>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</si>
  <si>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</si>
  <si>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</si>
  <si>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</si>
  <si>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</si>
  <si>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</si>
  <si>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</si>
  <si>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</si>
  <si>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</si>
  <si>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</si>
  <si>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</si>
  <si>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</si>
  <si>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</si>
  <si>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</si>
  <si>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</si>
  <si>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</si>
  <si>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</si>
  <si>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</si>
  <si>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</si>
  <si>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</si>
  <si>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</si>
  <si>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</si>
  <si>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</si>
  <si>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</si>
  <si>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</si>
  <si>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</si>
  <si>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</si>
  <si>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</si>
  <si>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</si>
  <si>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</si>
  <si>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</si>
  <si>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</si>
  <si>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</si>
  <si>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</si>
  <si>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</si>
  <si>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</si>
  <si>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</si>
  <si>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</si>
  <si>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</si>
  <si>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</si>
  <si>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</si>
  <si>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</si>
  <si>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</si>
  <si>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</si>
  <si>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</si>
  <si>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</si>
  <si>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</si>
  <si>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</si>
  <si>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</si>
  <si>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</si>
  <si>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</si>
  <si>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</si>
  <si>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</si>
  <si>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</si>
  <si>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</si>
  <si>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</si>
  <si>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</si>
  <si>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</si>
  <si>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</si>
  <si>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</si>
  <si>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</si>
  <si>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</si>
  <si>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</si>
  <si>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</si>
  <si>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</si>
  <si>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</si>
  <si>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</si>
  <si>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</si>
  <si>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</si>
  <si>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</si>
  <si>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</si>
  <si>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</si>
  <si>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</si>
  <si>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</si>
  <si>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</si>
  <si>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</si>
  <si>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</si>
  <si>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</si>
  <si>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</si>
  <si>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</si>
  <si>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</si>
  <si>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</si>
  <si>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</si>
  <si>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</si>
  <si>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</si>
  <si>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</si>
  <si>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</si>
  <si>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</si>
  <si>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</si>
  <si>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</si>
  <si>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</si>
  <si>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</si>
  <si>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</si>
  <si>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</si>
  <si>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</si>
  <si>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</si>
  <si>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</si>
  <si>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</si>
  <si>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</si>
  <si>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</si>
  <si>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</si>
  <si>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</si>
  <si>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</si>
  <si>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</si>
  <si>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</si>
  <si>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</si>
  <si>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</si>
  <si>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</si>
  <si>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</si>
  <si>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</si>
  <si>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</si>
  <si>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</si>
  <si>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</si>
  <si>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</si>
  <si>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</si>
  <si>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</si>
  <si>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</si>
  <si>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</si>
  <si>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</si>
  <si>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</si>
  <si>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</si>
  <si>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</si>
  <si>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</si>
  <si>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</si>
  <si>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</si>
  <si>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</si>
  <si>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</si>
  <si>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</si>
  <si>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</si>
  <si>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</si>
  <si>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</si>
  <si>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</si>
  <si>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</si>
  <si>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</si>
  <si>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</si>
  <si>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</si>
  <si>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</si>
  <si>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</si>
  <si>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</si>
  <si>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</si>
  <si>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</si>
  <si>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</si>
  <si>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</si>
  <si>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</si>
  <si>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</si>
  <si>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</si>
  <si>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</si>
  <si>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</si>
  <si>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</si>
  <si>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</si>
  <si>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</si>
  <si>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</si>
  <si>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</si>
  <si>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</si>
  <si>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</si>
  <si>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</si>
  <si>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</si>
  <si>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</si>
  <si>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</si>
  <si>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</si>
  <si>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</si>
  <si>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</si>
  <si>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</si>
  <si>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</si>
  <si>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</si>
  <si>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</si>
  <si>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</si>
  <si>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</si>
  <si>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</si>
  <si>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</si>
  <si>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</si>
  <si>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</si>
  <si>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</si>
  <si>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</si>
  <si>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</si>
  <si>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</si>
  <si>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</si>
  <si>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</si>
  <si>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</si>
  <si>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</si>
  <si>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</si>
  <si>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</si>
  <si>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</si>
  <si>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</si>
  <si>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</si>
  <si>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</si>
  <si>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</si>
  <si>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</si>
  <si>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</si>
  <si>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</si>
  <si>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</si>
  <si>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</si>
  <si>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</si>
  <si>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</si>
  <si>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</si>
  <si>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</si>
  <si>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</si>
  <si>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</si>
  <si>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</si>
  <si>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</si>
  <si>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</si>
  <si>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</si>
  <si>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</si>
  <si>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</si>
  <si>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</si>
  <si>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</si>
  <si>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</si>
  <si>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</si>
  <si>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</si>
  <si>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</si>
  <si>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</si>
  <si>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</si>
  <si>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</si>
  <si>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</si>
  <si>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</si>
  <si>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</si>
  <si>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</si>
  <si>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</si>
  <si>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</si>
  <si>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</si>
  <si>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</si>
  <si>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</si>
  <si>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</si>
  <si>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</si>
  <si>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</si>
  <si>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</si>
  <si>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</si>
  <si>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</si>
  <si>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</si>
  <si>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</si>
  <si>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</si>
  <si>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</si>
  <si>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</si>
  <si>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</si>
  <si>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</si>
  <si>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</si>
  <si>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</si>
  <si>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</si>
  <si>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</si>
  <si>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</si>
  <si>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</si>
  <si>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</si>
  <si>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</si>
  <si>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</si>
  <si>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</si>
  <si>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</si>
  <si>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</si>
  <si>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</si>
  <si>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</si>
  <si>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</si>
  <si>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</si>
  <si>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</si>
  <si>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</si>
  <si>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</si>
  <si>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</si>
  <si>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</si>
  <si>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</si>
  <si>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</si>
  <si>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</si>
  <si>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</si>
  <si>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</si>
  <si>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</si>
  <si>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</si>
  <si>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</si>
  <si>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</si>
  <si>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</si>
  <si>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</si>
  <si>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</si>
  <si>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</si>
  <si>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</si>
  <si>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</si>
  <si>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</si>
  <si>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</si>
  <si>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</si>
  <si>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</si>
  <si>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</si>
  <si>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</si>
  <si>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</si>
  <si>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</si>
  <si>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</si>
  <si>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</si>
  <si>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</si>
  <si>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</si>
  <si>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</si>
  <si>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</si>
  <si>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</si>
  <si>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</si>
  <si>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</si>
  <si>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</si>
  <si>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</si>
  <si>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</si>
  <si>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</si>
  <si>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</si>
  <si>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</si>
  <si>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</si>
  <si>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</si>
  <si>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</si>
  <si>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</si>
  <si>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</si>
  <si>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</si>
  <si>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</si>
  <si>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</si>
  <si>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</si>
  <si>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</si>
  <si>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</si>
  <si>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</si>
  <si>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</si>
  <si>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</si>
  <si>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</si>
  <si>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</si>
  <si>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</si>
  <si>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</si>
  <si>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</si>
  <si>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</si>
  <si>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</si>
  <si>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</si>
  <si>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</si>
  <si>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</si>
  <si>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</si>
  <si>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</si>
  <si>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</si>
  <si>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</si>
  <si>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</si>
  <si>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</si>
  <si>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</si>
  <si>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</si>
  <si>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</si>
  <si>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</si>
  <si>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</si>
  <si>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</si>
  <si>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</si>
  <si>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</si>
  <si>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</si>
  <si>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</si>
  <si>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</si>
  <si>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</si>
  <si>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</si>
  <si>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</si>
  <si>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</si>
  <si>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</si>
  <si>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</si>
  <si>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</si>
  <si>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</si>
  <si>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</si>
  <si>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</si>
  <si>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</si>
  <si>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</si>
  <si>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</si>
  <si>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</si>
  <si>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</si>
  <si>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</si>
  <si>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</si>
  <si>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</si>
  <si>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</si>
  <si>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</si>
  <si>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</si>
  <si>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</si>
  <si>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</si>
  <si>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</si>
  <si>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</si>
  <si>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</si>
  <si>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</si>
  <si>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</si>
  <si>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</si>
  <si>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</si>
  <si>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</si>
  <si>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</si>
  <si>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</si>
  <si>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</si>
  <si>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</si>
  <si>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</si>
  <si>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</si>
  <si>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</si>
  <si>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</si>
  <si>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</si>
  <si>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</si>
  <si>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</si>
  <si>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</si>
  <si>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</si>
  <si>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</si>
  <si>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</si>
  <si>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</si>
  <si>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</si>
  <si>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</si>
  <si>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</si>
  <si>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</si>
  <si>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</si>
  <si>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</si>
  <si>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</si>
  <si>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</si>
  <si>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</si>
  <si>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</si>
  <si>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</si>
  <si>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</si>
  <si>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</si>
  <si>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</si>
  <si>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</si>
  <si>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</si>
  <si>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</si>
  <si>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</si>
  <si>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</si>
  <si>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</si>
  <si>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</si>
  <si>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</si>
  <si>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</si>
  <si>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</si>
  <si>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</si>
  <si>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</si>
  <si>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</si>
  <si>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</si>
  <si>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</si>
  <si>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</si>
  <si>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</si>
  <si>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</si>
  <si>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</si>
  <si>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</si>
  <si>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</si>
  <si>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</si>
  <si>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</si>
  <si>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</si>
  <si>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</si>
  <si>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</si>
  <si>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</si>
  <si>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</si>
  <si>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</si>
  <si>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</si>
  <si>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</si>
  <si>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</si>
  <si>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</si>
  <si>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</si>
  <si>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</si>
  <si>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</si>
  <si>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</si>
  <si>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</si>
  <si>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</si>
  <si>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</si>
  <si>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</si>
  <si>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</si>
  <si>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</si>
  <si>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</si>
  <si>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</si>
  <si>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</si>
  <si>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</si>
  <si>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</si>
  <si>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</si>
  <si>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</si>
  <si>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</si>
  <si>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</si>
  <si>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</si>
  <si>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</si>
  <si>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</si>
  <si>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</si>
  <si>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</si>
  <si>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</si>
  <si>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</si>
  <si>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</si>
  <si>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</si>
  <si>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</si>
  <si>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</si>
  <si>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</si>
  <si>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</si>
  <si>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</si>
  <si>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</si>
  <si>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</si>
  <si>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</si>
  <si>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</si>
  <si>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</si>
  <si>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</si>
  <si>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</si>
  <si>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</si>
  <si>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</si>
  <si>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</si>
  <si>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</si>
  <si>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</si>
  <si>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</si>
  <si>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</si>
  <si>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</si>
  <si>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</si>
  <si>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</si>
  <si>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</si>
  <si>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</si>
  <si>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</si>
  <si>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</si>
  <si>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</si>
  <si>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</si>
  <si>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</si>
  <si>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</si>
  <si>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</si>
  <si>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</si>
  <si>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</si>
  <si>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</si>
  <si>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</si>
  <si>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</si>
  <si>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</si>
  <si>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</si>
  <si>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</si>
  <si>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</si>
  <si>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</si>
  <si>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</si>
  <si>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</si>
  <si>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</si>
  <si>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</si>
  <si>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</si>
  <si>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</si>
  <si>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</si>
  <si>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</si>
  <si>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</si>
  <si>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</si>
  <si>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</si>
  <si>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</si>
  <si>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</si>
  <si>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</si>
  <si>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</si>
  <si>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</si>
  <si>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</si>
  <si>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</si>
  <si>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</si>
  <si>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</si>
  <si>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</si>
  <si>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</si>
  <si>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</si>
  <si>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</si>
  <si>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</si>
  <si>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</si>
  <si>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</si>
  <si>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</si>
  <si>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</si>
  <si>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</si>
  <si>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</si>
  <si>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</si>
  <si>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</si>
  <si>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</si>
  <si>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</si>
  <si>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</si>
  <si>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</si>
  <si>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</si>
  <si>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</si>
  <si>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</si>
  <si>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</si>
  <si>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</si>
  <si>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</si>
  <si>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</si>
  <si>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</si>
  <si>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</si>
  <si>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</si>
  <si>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</si>
  <si>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</si>
  <si>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</si>
  <si>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</si>
  <si>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</si>
  <si>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</si>
  <si>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</si>
  <si>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</si>
  <si>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</si>
  <si>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</si>
  <si>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</si>
  <si>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</si>
  <si>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</si>
  <si>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</si>
  <si>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</si>
  <si>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</si>
  <si>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</si>
  <si>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</si>
  <si>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</si>
  <si>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</si>
  <si>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</si>
  <si>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</si>
  <si>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</si>
  <si>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</si>
  <si>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</si>
  <si>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</si>
  <si>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</si>
  <si>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</si>
  <si>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</si>
  <si>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</si>
  <si>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</si>
  <si>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</si>
  <si>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</si>
  <si>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</si>
  <si>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</si>
  <si>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</si>
  <si>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</si>
  <si>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</si>
  <si>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</si>
  <si>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</si>
  <si>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</si>
  <si>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</si>
  <si>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</si>
  <si>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</si>
  <si>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</si>
  <si>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</si>
  <si>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</si>
  <si>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</si>
  <si>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</si>
  <si>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</si>
  <si>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</si>
  <si>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</si>
  <si>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</si>
  <si>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</si>
  <si>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</si>
  <si>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</si>
  <si>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</si>
  <si>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</si>
  <si>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</si>
  <si>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</si>
  <si>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</si>
  <si>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</si>
  <si>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</si>
  <si>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</si>
  <si>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</si>
  <si>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</si>
  <si>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</si>
  <si>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</si>
  <si>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</si>
  <si>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</si>
  <si>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</si>
  <si>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</si>
  <si>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</si>
  <si>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</si>
  <si>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</si>
  <si>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</si>
  <si>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</si>
  <si>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</si>
  <si>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</si>
  <si>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</si>
  <si>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</si>
  <si>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</si>
  <si>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</si>
  <si>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</si>
  <si>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</si>
  <si>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</si>
  <si>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</si>
  <si>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</si>
  <si>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</si>
  <si>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</si>
  <si>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</si>
  <si>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</si>
  <si>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</si>
  <si>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</si>
  <si>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</si>
  <si>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</si>
  <si>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</si>
  <si>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</si>
  <si>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</si>
  <si>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</si>
  <si>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</si>
  <si>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</si>
  <si>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</si>
  <si>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</si>
  <si>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</si>
  <si>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</si>
  <si>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</si>
  <si>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</si>
  <si>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</si>
  <si>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</si>
  <si>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</si>
  <si>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</si>
  <si>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</si>
  <si>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</si>
  <si>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</si>
  <si>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</si>
  <si>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</si>
  <si>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</si>
  <si>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</si>
  <si>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</si>
  <si>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</si>
  <si>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</si>
  <si>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</si>
  <si>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</si>
  <si>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</si>
  <si>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</si>
  <si>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</si>
  <si>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</si>
  <si>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</si>
  <si>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</si>
  <si>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</si>
  <si>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</si>
  <si>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</si>
  <si>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</si>
  <si>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</si>
  <si>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</si>
  <si>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</si>
  <si>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</si>
  <si>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</si>
  <si>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</si>
  <si>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</si>
  <si>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</si>
  <si>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</si>
  <si>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</si>
  <si>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</si>
  <si>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</si>
  <si>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</si>
  <si>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</si>
  <si>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</si>
  <si>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</si>
  <si>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</si>
  <si>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</si>
  <si>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</si>
  <si>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</si>
  <si>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</si>
  <si>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</si>
  <si>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</si>
  <si>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</si>
  <si>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</si>
  <si>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</si>
  <si>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</si>
  <si>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</si>
  <si>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</si>
  <si>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</si>
  <si>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</si>
  <si>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</si>
  <si>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</si>
  <si>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</si>
  <si>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</si>
  <si>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</si>
  <si>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</si>
  <si>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</si>
  <si>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</si>
  <si>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</si>
  <si>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</si>
  <si>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</si>
  <si>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</si>
  <si>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</si>
  <si>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</si>
  <si>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</si>
  <si>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</si>
  <si>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</si>
  <si>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</si>
  <si>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</si>
  <si>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</si>
  <si>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</si>
  <si>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</si>
  <si>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</si>
  <si>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</si>
  <si>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</si>
  <si>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</si>
  <si>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</si>
  <si>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</si>
  <si>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</si>
  <si>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</si>
  <si>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</si>
  <si>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</si>
  <si>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</si>
  <si>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</si>
  <si>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</si>
  <si>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</si>
  <si>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</si>
  <si>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</si>
  <si>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</si>
  <si>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</si>
  <si>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</si>
  <si>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</si>
  <si>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</si>
  <si>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</si>
  <si>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</si>
  <si>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</si>
  <si>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</si>
  <si>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</si>
  <si>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</si>
  <si>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</si>
  <si>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</si>
  <si>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</si>
  <si>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</si>
  <si>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</si>
  <si>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</si>
  <si>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</si>
  <si>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</si>
  <si>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</si>
  <si>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</si>
  <si>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</si>
  <si>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</si>
  <si>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</si>
  <si>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</si>
  <si>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</si>
  <si>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</si>
  <si>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</si>
  <si>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</si>
  <si>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</si>
  <si>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</si>
  <si>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</si>
  <si>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</si>
  <si>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</si>
  <si>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</si>
  <si>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</si>
  <si>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</si>
  <si>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</si>
  <si>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</si>
  <si>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</si>
  <si>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</si>
  <si>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</si>
  <si>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</si>
  <si>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</si>
  <si>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</si>
  <si>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</si>
  <si>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</si>
  <si>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</si>
  <si>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</si>
  <si>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</si>
  <si>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</si>
  <si>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</si>
  <si>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</si>
  <si>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</si>
  <si>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</si>
  <si>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</si>
  <si>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</si>
  <si>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</si>
  <si>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</si>
  <si>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</si>
  <si>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</si>
  <si>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</si>
  <si>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</si>
  <si>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</si>
  <si>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</si>
  <si>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</si>
  <si>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</si>
  <si>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</si>
  <si>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</si>
  <si>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</si>
  <si>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</si>
  <si>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</si>
  <si>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</si>
  <si>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</si>
  <si>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</si>
  <si>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</si>
  <si>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</si>
  <si>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</si>
  <si>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</si>
  <si>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</si>
  <si>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</si>
  <si>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</si>
  <si>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</si>
  <si>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</si>
  <si>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</si>
  <si>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</si>
  <si>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</si>
  <si>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</si>
  <si>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</si>
  <si>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</si>
  <si>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</si>
  <si>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</si>
  <si>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</si>
  <si>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</si>
  <si>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</si>
  <si>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</si>
  <si>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</si>
  <si>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</si>
  <si>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</si>
  <si>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</si>
  <si>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</si>
  <si>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</si>
  <si>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</si>
  <si>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</si>
  <si>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</si>
  <si>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</si>
  <si>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</si>
  <si>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</si>
  <si>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</si>
  <si>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</si>
  <si>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</si>
  <si>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</si>
  <si>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</si>
  <si>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</si>
  <si>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</si>
  <si>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</si>
  <si>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</si>
  <si>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</si>
  <si>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</si>
  <si>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</si>
  <si>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</si>
  <si>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</si>
  <si>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</si>
  <si>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</si>
  <si>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</si>
  <si>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</si>
  <si>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</si>
  <si>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</si>
  <si>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</si>
  <si>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</si>
  <si>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</si>
  <si>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</si>
  <si>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</si>
  <si>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</si>
  <si>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</si>
  <si>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</si>
  <si>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</si>
  <si>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</si>
  <si>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</si>
  <si>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</si>
  <si>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</si>
  <si>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</si>
  <si>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</si>
  <si>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</si>
  <si>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</si>
  <si>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</si>
  <si>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</si>
  <si>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</si>
  <si>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</si>
  <si>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</si>
  <si>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</si>
  <si>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</si>
  <si>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</si>
  <si>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</si>
  <si>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</si>
  <si>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</si>
  <si>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</si>
  <si>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</si>
  <si>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</si>
  <si>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</si>
  <si>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</si>
  <si>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</si>
  <si>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</si>
  <si>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</si>
  <si>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</si>
  <si>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</si>
  <si>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</si>
  <si>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</si>
  <si>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</si>
  <si>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</si>
  <si>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</si>
  <si>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</si>
  <si>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</si>
  <si>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</si>
  <si>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</si>
  <si>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</si>
  <si>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</si>
  <si>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</si>
  <si>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</si>
  <si>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</si>
  <si>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</si>
  <si>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</si>
  <si>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</si>
  <si>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</si>
  <si>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</si>
  <si>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</si>
  <si>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</si>
  <si>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</si>
  <si>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</si>
  <si>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</si>
  <si>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</si>
  <si>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</si>
  <si>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</si>
  <si>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</si>
  <si>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</si>
  <si>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</si>
  <si>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</si>
  <si>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</si>
  <si>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</si>
  <si>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</si>
  <si>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</si>
  <si>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</si>
  <si>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</si>
  <si>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</si>
  <si>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</si>
  <si>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</si>
  <si>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</si>
  <si>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</si>
  <si>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</si>
  <si>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</si>
  <si>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</si>
  <si>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</si>
  <si>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</si>
  <si>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</si>
  <si>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</si>
  <si>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</si>
  <si>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</si>
  <si>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</si>
  <si>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</si>
  <si>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</si>
  <si>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</si>
  <si>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</si>
  <si>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</si>
  <si>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</si>
  <si>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</si>
  <si>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</si>
  <si>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</si>
  <si>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</si>
  <si>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</si>
  <si>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</si>
  <si>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</si>
  <si>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</si>
  <si>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</si>
  <si>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</si>
  <si>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</si>
  <si>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</si>
  <si>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</si>
  <si>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</si>
  <si>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</si>
  <si>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</si>
  <si>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</si>
  <si>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</si>
  <si>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</si>
  <si>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</si>
  <si>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</si>
  <si>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</si>
  <si>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</si>
  <si>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</si>
  <si>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</si>
  <si>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</si>
  <si>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</si>
  <si>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</si>
  <si>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</si>
  <si>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</si>
  <si>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</si>
  <si>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</si>
  <si>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</si>
  <si>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</si>
  <si>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</si>
  <si>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</si>
  <si>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</si>
  <si>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</si>
  <si>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</si>
  <si>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</si>
  <si>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</si>
  <si>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</si>
  <si>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</si>
  <si>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</si>
  <si>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</si>
  <si>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</si>
  <si>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</si>
  <si>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</si>
  <si>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</si>
  <si>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</si>
  <si>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</si>
  <si>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</si>
  <si>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</si>
  <si>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</si>
  <si>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</si>
  <si>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</si>
  <si>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</si>
  <si>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</si>
  <si>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</si>
  <si>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</si>
  <si>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</si>
  <si>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</si>
  <si>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</si>
  <si>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</si>
  <si>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</si>
  <si>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</si>
  <si>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</si>
  <si>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</si>
  <si>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</si>
  <si>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</si>
  <si>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</si>
  <si>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</si>
  <si>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</si>
  <si>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</si>
  <si>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</si>
  <si>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</si>
  <si>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</si>
  <si>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</si>
  <si>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</si>
  <si>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</si>
  <si>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</si>
  <si>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</si>
  <si>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</si>
  <si>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</si>
  <si>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</si>
  <si>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</si>
  <si>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</si>
  <si>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</si>
  <si>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</si>
  <si>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</si>
  <si>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</si>
  <si>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</si>
  <si>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</si>
  <si>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</si>
  <si>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</si>
  <si>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</si>
  <si>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</si>
  <si>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</si>
  <si>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</si>
  <si>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</si>
  <si>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</si>
  <si>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</si>
  <si>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</si>
  <si>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</si>
  <si>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</si>
  <si>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</si>
  <si>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</si>
  <si>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</si>
  <si>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</si>
  <si>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</si>
  <si>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</si>
  <si>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</si>
  <si>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</si>
  <si>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</si>
  <si>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</si>
  <si>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</si>
  <si>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</si>
  <si>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</si>
  <si>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</si>
  <si>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</si>
  <si>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</si>
  <si>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</si>
  <si>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</si>
  <si>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</si>
  <si>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</si>
  <si>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</si>
  <si>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</si>
  <si>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</si>
  <si>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</si>
  <si>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</si>
  <si>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</si>
  <si>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</si>
  <si>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</si>
  <si>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</si>
  <si>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</si>
  <si>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</si>
  <si>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</si>
  <si>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</si>
  <si>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</si>
  <si>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</si>
  <si>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</si>
  <si>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</si>
  <si>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</si>
  <si>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</si>
  <si>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</si>
  <si>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</si>
  <si>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</si>
  <si>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</si>
  <si>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</si>
  <si>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</si>
  <si>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</si>
  <si>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</si>
  <si>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</si>
  <si>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</si>
  <si>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</si>
  <si>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</si>
  <si>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</si>
  <si>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</si>
  <si>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</si>
  <si>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</si>
  <si>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</si>
  <si>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</si>
  <si>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</si>
  <si>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</si>
  <si>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</si>
  <si>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</si>
  <si>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</si>
  <si>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</si>
  <si>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</si>
  <si>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</si>
  <si>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</si>
  <si>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</si>
  <si>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</si>
  <si>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</si>
  <si>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</si>
  <si>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</si>
  <si>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</si>
  <si>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</si>
  <si>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</si>
  <si>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</si>
  <si>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</si>
  <si>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</si>
  <si>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</si>
  <si>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</si>
  <si>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</si>
  <si>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</si>
  <si>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</si>
  <si>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</si>
  <si>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</si>
  <si>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</si>
  <si>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</si>
  <si>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</si>
  <si>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</si>
  <si>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</si>
  <si>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</si>
  <si>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</si>
  <si>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</si>
  <si>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</si>
  <si>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</si>
  <si>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</si>
  <si>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</si>
  <si>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</si>
  <si>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</si>
  <si>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</si>
  <si>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</si>
  <si>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</si>
  <si>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</si>
  <si>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</si>
  <si>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</si>
  <si>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</si>
  <si>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</si>
  <si>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</si>
  <si>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</si>
  <si>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</si>
  <si>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</si>
  <si>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</si>
  <si>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</si>
  <si>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</si>
  <si>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</si>
  <si>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</si>
  <si>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</si>
  <si>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</si>
  <si>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</si>
  <si>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</si>
  <si>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</si>
  <si>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</si>
  <si>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</si>
  <si>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</si>
  <si>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</si>
  <si>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</si>
  <si>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</si>
  <si>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</si>
  <si>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</si>
  <si>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</si>
  <si>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</si>
  <si>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</si>
  <si>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</si>
  <si>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</si>
  <si>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</si>
  <si>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</si>
  <si>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</si>
  <si>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</si>
  <si>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</si>
  <si>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</si>
  <si>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</si>
  <si>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</si>
  <si>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</si>
  <si>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</si>
  <si>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</si>
  <si>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</si>
  <si>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</si>
  <si>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</si>
  <si>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</si>
  <si>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</si>
  <si>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</si>
  <si>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</si>
  <si>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</si>
  <si>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</si>
  <si>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</si>
  <si>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</si>
  <si>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</si>
  <si>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</si>
  <si>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</si>
  <si>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</si>
  <si>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</si>
  <si>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</si>
  <si>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</si>
  <si>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</si>
  <si>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</si>
  <si>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</si>
  <si>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</si>
  <si>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</si>
  <si>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</si>
  <si>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</si>
  <si>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</si>
  <si>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</si>
  <si>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</si>
  <si>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</si>
  <si>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</si>
  <si>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</si>
  <si>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</si>
  <si>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</si>
  <si>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</si>
  <si>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</si>
  <si>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</si>
  <si>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</si>
  <si>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</si>
  <si>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</si>
  <si>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</si>
  <si>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</si>
  <si>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</si>
  <si>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</si>
  <si>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</si>
  <si>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</si>
  <si>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</si>
  <si>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</si>
  <si>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</si>
  <si>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</si>
  <si>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</si>
  <si>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</si>
  <si>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</si>
  <si>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</si>
  <si>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</si>
  <si>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</si>
  <si>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</si>
  <si>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</si>
  <si>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</si>
  <si>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</si>
  <si>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</si>
  <si>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</si>
  <si>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</si>
  <si>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</si>
  <si>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</si>
  <si>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</si>
  <si>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</si>
  <si>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</si>
  <si>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</si>
  <si>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</si>
  <si>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</si>
  <si>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</si>
  <si>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</si>
  <si>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</si>
  <si>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</si>
  <si>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</si>
  <si>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</si>
  <si>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</si>
  <si>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</si>
  <si>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</si>
  <si>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</si>
  <si>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</si>
  <si>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</si>
  <si>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</si>
  <si>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</si>
  <si>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</si>
  <si>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</si>
  <si>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</si>
  <si>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</si>
  <si>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</si>
  <si>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</si>
  <si>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</si>
  <si>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</si>
  <si>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</si>
  <si>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</si>
  <si>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</si>
  <si>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</si>
  <si>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</si>
  <si>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</si>
  <si>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</si>
  <si>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</si>
  <si>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</si>
  <si>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</si>
  <si>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</si>
  <si>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</si>
  <si>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</si>
  <si>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</si>
  <si>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</si>
  <si>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</si>
  <si>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</si>
  <si>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</si>
  <si>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</si>
  <si>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</si>
  <si>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</si>
  <si>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</si>
  <si>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</si>
  <si>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</si>
  <si>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</si>
  <si>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</si>
  <si>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</si>
  <si>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</si>
  <si>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</si>
  <si>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</si>
  <si>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</si>
  <si>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</si>
  <si>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</si>
  <si>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</si>
  <si>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</si>
  <si>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</si>
  <si>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</si>
  <si>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</si>
  <si>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</si>
  <si>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</si>
  <si>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</si>
  <si>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</si>
  <si>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</si>
  <si>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</si>
  <si>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</si>
  <si>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</si>
  <si>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</si>
  <si>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</si>
  <si>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</si>
  <si>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</si>
  <si>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</si>
  <si>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</si>
  <si>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</si>
  <si>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</si>
  <si>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</si>
  <si>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</si>
  <si>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</si>
  <si>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</si>
  <si>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</si>
  <si>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</si>
  <si>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</si>
  <si>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</si>
  <si>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</si>
  <si>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</si>
  <si>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</si>
  <si>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</si>
  <si>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</si>
  <si>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</si>
  <si>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</si>
  <si>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</si>
  <si>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</si>
  <si>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</si>
  <si>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</si>
  <si>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</si>
  <si>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</si>
  <si>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</si>
  <si>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</si>
  <si>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</si>
  <si>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</si>
  <si>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</si>
  <si>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</si>
  <si>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</si>
  <si>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</si>
  <si>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</si>
  <si>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</si>
  <si>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</si>
  <si>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</si>
  <si>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</si>
  <si>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</si>
  <si>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</si>
  <si>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</si>
  <si>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</si>
  <si>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</si>
  <si>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</si>
  <si>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</si>
  <si>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</si>
  <si>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</si>
  <si>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</si>
  <si>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</si>
  <si>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</si>
  <si>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</si>
  <si>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</si>
  <si>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</si>
  <si>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</si>
  <si>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</si>
  <si>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</si>
  <si>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</si>
  <si>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</si>
  <si>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</si>
  <si>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</si>
  <si>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</si>
  <si>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</si>
  <si>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</si>
  <si>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</si>
  <si>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</si>
  <si>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</si>
  <si>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</si>
  <si>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</si>
  <si>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</si>
  <si>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</si>
  <si>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</si>
  <si>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</si>
  <si>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</si>
  <si>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</si>
  <si>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</si>
  <si>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</si>
  <si>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</si>
  <si>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</si>
  <si>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</si>
  <si>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</si>
  <si>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</si>
  <si>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</si>
  <si>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</si>
  <si>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</si>
  <si>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</si>
  <si>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</si>
  <si>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</si>
  <si>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</si>
  <si>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</si>
  <si>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</si>
  <si>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</si>
  <si>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</si>
  <si>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</si>
  <si>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</si>
  <si>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</si>
  <si>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</si>
  <si>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</si>
  <si>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</si>
  <si>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</si>
  <si>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</si>
  <si>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</si>
  <si>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</si>
  <si>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</si>
  <si>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</si>
  <si>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</si>
  <si>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</si>
  <si>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</si>
  <si>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</si>
  <si>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</si>
  <si>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</si>
  <si>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</si>
  <si>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</si>
  <si>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</si>
  <si>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</si>
  <si>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</si>
  <si>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</si>
  <si>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</si>
  <si>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</si>
  <si>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</si>
  <si>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</si>
  <si>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</si>
  <si>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</si>
  <si>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</si>
  <si>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</si>
  <si>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</si>
  <si>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</si>
  <si>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</si>
  <si>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</si>
  <si>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</si>
  <si>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</si>
  <si>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</si>
  <si>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</si>
  <si>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</si>
  <si>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</si>
  <si>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</si>
  <si>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</si>
  <si>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</si>
  <si>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</si>
  <si>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</si>
  <si>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</si>
  <si>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</si>
  <si>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</si>
  <si>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</si>
  <si>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</si>
  <si>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</si>
  <si>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</si>
  <si>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</si>
  <si>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</si>
  <si>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</si>
  <si>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</si>
  <si>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</si>
  <si>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</si>
  <si>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</si>
  <si>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</si>
  <si>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</si>
  <si>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</si>
  <si>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</si>
  <si>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</si>
  <si>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</si>
  <si>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</si>
  <si>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</si>
  <si>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</si>
  <si>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</si>
  <si>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</si>
  <si>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</si>
  <si>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</si>
  <si>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</si>
  <si>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</si>
  <si>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</si>
  <si>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</si>
  <si>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</si>
  <si>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</si>
  <si>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</si>
  <si>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</si>
  <si>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</si>
  <si>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</si>
  <si>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</si>
  <si>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</si>
  <si>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</si>
  <si>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</si>
  <si>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</si>
  <si>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</si>
  <si>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</si>
  <si>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</si>
  <si>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</si>
  <si>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</si>
  <si>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</si>
  <si>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</si>
  <si>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</si>
  <si>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</si>
  <si>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</si>
  <si>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</si>
  <si>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</si>
  <si>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</si>
  <si>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</si>
  <si>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</si>
  <si>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</si>
  <si>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</si>
  <si>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</si>
  <si>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</si>
  <si>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</si>
  <si>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</si>
  <si>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</si>
  <si>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</si>
  <si>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</si>
  <si>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</si>
  <si>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</si>
  <si>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</si>
  <si>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</si>
  <si>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</si>
  <si>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</si>
  <si>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</si>
  <si>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</si>
  <si>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</si>
  <si>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</si>
  <si>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</si>
  <si>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</si>
  <si>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</si>
  <si>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</si>
  <si>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</si>
  <si>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</si>
  <si>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</si>
  <si>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</si>
  <si>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</si>
  <si>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</si>
  <si>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</si>
  <si>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</si>
  <si>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</si>
  <si>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</si>
  <si>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</si>
  <si>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</si>
  <si>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</si>
  <si>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</si>
  <si>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</si>
  <si>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</si>
  <si>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</si>
  <si>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</si>
  <si>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</si>
  <si>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</si>
  <si>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</si>
  <si>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</si>
  <si>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</si>
  <si>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</si>
  <si>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</si>
  <si>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</si>
  <si>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</si>
  <si>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</si>
  <si>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</si>
  <si>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</si>
  <si>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</si>
  <si>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</si>
  <si>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</si>
  <si>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</si>
  <si>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</si>
  <si>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</si>
  <si>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</si>
  <si>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</si>
  <si>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</si>
  <si>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</si>
  <si>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</si>
  <si>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</si>
  <si>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</si>
  <si>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</si>
  <si>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</si>
  <si>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</si>
  <si>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</si>
  <si>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</si>
  <si>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</si>
  <si>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</si>
  <si>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</si>
  <si>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</si>
  <si>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</si>
  <si>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</si>
  <si>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</si>
  <si>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</si>
  <si>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</si>
  <si>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</si>
  <si>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</si>
  <si>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</si>
  <si>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</si>
  <si>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</si>
  <si>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</si>
  <si>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</si>
  <si>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</si>
  <si>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</si>
  <si>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</si>
  <si>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</si>
  <si>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</si>
  <si>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</si>
  <si>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</si>
  <si>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</si>
  <si>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</si>
  <si>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</si>
  <si>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</si>
  <si>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</si>
  <si>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</si>
  <si>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</si>
  <si>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</si>
  <si>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</si>
  <si>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</si>
  <si>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</si>
  <si>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</si>
  <si>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</si>
  <si>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</si>
  <si>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</si>
  <si>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</si>
  <si>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</si>
  <si>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</si>
  <si>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</si>
  <si>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</si>
  <si>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</si>
  <si>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</si>
  <si>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</si>
  <si>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</si>
  <si>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</si>
  <si>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</si>
  <si>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</si>
  <si>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</si>
  <si>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</si>
  <si>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</si>
  <si>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</si>
  <si>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</si>
  <si>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</si>
  <si>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</si>
  <si>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</si>
  <si>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</si>
  <si>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</si>
  <si>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</si>
  <si>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</si>
  <si>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</si>
  <si>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</si>
  <si>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</si>
  <si>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</si>
  <si>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</si>
  <si>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</si>
  <si>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</si>
  <si>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</si>
  <si>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</si>
  <si>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</si>
  <si>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</si>
  <si>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</si>
  <si>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</si>
  <si>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</si>
  <si>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</si>
  <si>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</si>
  <si>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</si>
  <si>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</si>
  <si>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</si>
  <si>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</si>
  <si>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</si>
  <si>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</si>
  <si>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</si>
  <si>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</si>
  <si>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</si>
  <si>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</si>
  <si>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</si>
  <si>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</si>
  <si>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</si>
  <si>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</si>
  <si>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</si>
  <si>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</si>
  <si>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</si>
  <si>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</si>
  <si>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</si>
  <si>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</si>
  <si>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</si>
  <si>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</si>
  <si>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</si>
  <si>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</si>
  <si>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</si>
  <si>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</si>
  <si>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</si>
  <si>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</si>
  <si>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</si>
  <si>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</si>
  <si>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</si>
  <si>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</si>
  <si>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</si>
  <si>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</si>
  <si>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</si>
  <si>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</si>
  <si>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</si>
  <si>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</si>
  <si>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</si>
  <si>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</si>
  <si>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</si>
  <si>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</si>
  <si>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</si>
  <si>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</si>
  <si>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</si>
  <si>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</si>
  <si>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</si>
  <si>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</si>
  <si>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</si>
  <si>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</si>
  <si>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</si>
  <si>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</si>
  <si>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</si>
  <si>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</si>
  <si>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</si>
  <si>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</si>
  <si>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</si>
  <si>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</si>
  <si>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</si>
  <si>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</si>
  <si>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</si>
  <si>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</si>
  <si>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</si>
  <si>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</si>
  <si>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</si>
  <si>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</si>
  <si>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</si>
  <si>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</si>
  <si>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</si>
  <si>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</si>
  <si>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</si>
  <si>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</si>
  <si>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</si>
  <si>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</si>
  <si>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</si>
  <si>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</si>
  <si>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</si>
  <si>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</si>
  <si>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</si>
  <si>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</si>
  <si>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</si>
  <si>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</si>
  <si>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</si>
  <si>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</si>
  <si>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</si>
  <si>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</si>
  <si>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</si>
  <si>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</si>
  <si>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</si>
  <si>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</si>
  <si>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</si>
  <si>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</si>
  <si>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</si>
  <si>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</si>
  <si>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</si>
  <si>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</si>
  <si>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</si>
  <si>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</si>
  <si>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</si>
  <si>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</si>
  <si>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</si>
  <si>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</si>
  <si>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</si>
  <si>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</si>
  <si>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</si>
  <si>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</si>
  <si>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</si>
  <si>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</si>
  <si>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</si>
  <si>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</si>
  <si>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</si>
  <si>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</si>
  <si>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</si>
  <si>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</si>
  <si>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</si>
  <si>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</si>
  <si>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</si>
  <si>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</si>
  <si>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</si>
  <si>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</si>
  <si>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</si>
  <si>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</si>
  <si>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</si>
  <si>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</si>
  <si>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</si>
  <si>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</si>
  <si>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</si>
  <si>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</si>
  <si>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</si>
  <si>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</si>
  <si>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</si>
  <si>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</si>
  <si>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</si>
  <si>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</si>
  <si>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</si>
  <si>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</si>
  <si>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</si>
  <si>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</si>
  <si>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</si>
  <si>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</si>
  <si>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</si>
  <si>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</si>
  <si>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</si>
  <si>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</si>
  <si>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</si>
  <si>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</si>
  <si>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</si>
  <si>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</si>
  <si>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</si>
  <si>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</si>
  <si>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</si>
  <si>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</si>
  <si>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</si>
  <si>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</si>
  <si>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</si>
  <si>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</si>
  <si>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</si>
  <si>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</si>
  <si>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</si>
  <si>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</si>
  <si>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</si>
  <si>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</si>
  <si>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</si>
  <si>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</si>
  <si>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</si>
  <si>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</si>
  <si>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</si>
  <si>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</si>
  <si>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</si>
  <si>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</si>
  <si>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</si>
  <si>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</si>
  <si>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</si>
  <si>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</si>
  <si>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</si>
  <si>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</si>
  <si>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</si>
  <si>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</si>
  <si>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</si>
  <si>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</si>
  <si>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</si>
  <si>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</si>
  <si>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</si>
  <si>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</si>
  <si>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</si>
  <si>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</si>
  <si>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</si>
  <si>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</si>
  <si>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</si>
  <si>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</si>
  <si>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</si>
  <si>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</si>
  <si>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</si>
  <si>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</si>
  <si>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</si>
  <si>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</si>
  <si>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</si>
  <si>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</si>
  <si>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</si>
  <si>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</si>
  <si>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</si>
  <si>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</si>
  <si>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</si>
  <si>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</si>
  <si>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</si>
  <si>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</si>
  <si>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</si>
  <si>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</si>
  <si>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</si>
  <si>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</si>
  <si>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</si>
  <si>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</si>
  <si>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</si>
  <si>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</si>
  <si>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</si>
  <si>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</si>
  <si>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</si>
  <si>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</si>
  <si>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</si>
  <si>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</si>
  <si>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</si>
  <si>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</si>
  <si>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</si>
  <si>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</si>
  <si>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</si>
  <si>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</si>
  <si>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</si>
  <si>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</si>
  <si>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</si>
  <si>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</si>
  <si>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</si>
  <si>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</si>
  <si>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</si>
  <si>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</si>
  <si>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</si>
  <si>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</si>
  <si>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</si>
  <si>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</si>
  <si>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</si>
  <si>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</si>
  <si>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</si>
  <si>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</si>
  <si>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</si>
  <si>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</si>
  <si>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</si>
  <si>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</si>
  <si>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</si>
  <si>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</si>
  <si>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</si>
  <si>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</si>
  <si>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</si>
  <si>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</si>
  <si>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</si>
  <si>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</si>
  <si>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</si>
  <si>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</si>
  <si>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</si>
  <si>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</si>
  <si>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</si>
  <si>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</si>
  <si>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</si>
  <si>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</si>
  <si>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</si>
  <si>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</si>
  <si>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</si>
  <si>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</si>
  <si>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</si>
  <si>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</si>
  <si>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</si>
  <si>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</si>
  <si>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</si>
  <si>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</si>
  <si>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</si>
  <si>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</si>
  <si>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</si>
  <si>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</si>
  <si>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</si>
  <si>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</si>
  <si>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</si>
  <si>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</si>
  <si>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</si>
  <si>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</si>
  <si>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</si>
  <si>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</si>
  <si>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</si>
  <si>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</si>
  <si>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</si>
  <si>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</si>
  <si>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</si>
  <si>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</si>
  <si>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</si>
  <si>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</si>
  <si>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</si>
  <si>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</si>
  <si>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</si>
  <si>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</si>
  <si>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</si>
  <si>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</si>
  <si>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</si>
  <si>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</si>
  <si>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</si>
  <si>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</si>
  <si>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</si>
  <si>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</si>
  <si>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</si>
  <si>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</si>
  <si>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</si>
  <si>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</si>
  <si>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</si>
  <si>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</si>
  <si>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</si>
  <si>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</si>
  <si>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</si>
  <si>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</si>
  <si>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</si>
  <si>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</si>
  <si>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</si>
  <si>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</si>
  <si>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</si>
  <si>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</si>
  <si>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</si>
  <si>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</si>
  <si>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</si>
  <si>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</si>
  <si>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</si>
  <si>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</si>
  <si>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</si>
  <si>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</si>
  <si>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</si>
  <si>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</si>
  <si>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</si>
  <si>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</si>
  <si>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</si>
  <si>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</si>
  <si>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</si>
  <si>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</si>
  <si>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</si>
  <si>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</si>
  <si>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</si>
  <si>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</si>
  <si>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</si>
  <si>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</si>
  <si>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</si>
  <si>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</si>
  <si>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</si>
  <si>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</si>
  <si>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</si>
  <si>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</si>
  <si>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</si>
  <si>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</si>
  <si>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</si>
  <si>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</si>
  <si>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</si>
  <si>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</si>
  <si>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</si>
  <si>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</si>
  <si>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</si>
  <si>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</si>
  <si>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</si>
  <si>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</si>
  <si>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</si>
  <si>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</si>
  <si>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</si>
  <si>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</si>
  <si>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</si>
  <si>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</si>
  <si>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</si>
  <si>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</si>
  <si>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</si>
  <si>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</si>
  <si>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</si>
  <si>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</si>
  <si>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</si>
  <si>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</si>
  <si>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</si>
  <si>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</si>
  <si>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</si>
  <si>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</si>
  <si>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</si>
  <si>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</si>
  <si>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</si>
  <si>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</si>
  <si>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</si>
  <si>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</si>
  <si>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</si>
  <si>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</si>
  <si>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</si>
  <si>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</si>
  <si>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</si>
  <si>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</si>
  <si>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</si>
  <si>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</si>
  <si>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</si>
  <si>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</si>
  <si>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</si>
  <si>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</si>
  <si>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</si>
  <si>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</si>
  <si>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</si>
  <si>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</si>
  <si>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</si>
  <si>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</si>
  <si>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</si>
  <si>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</si>
  <si>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</si>
  <si>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</si>
  <si>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</si>
  <si>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</si>
  <si>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</si>
  <si>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</si>
  <si>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</si>
  <si>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</si>
  <si>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</si>
  <si>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</si>
  <si>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</si>
  <si>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</si>
  <si>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</si>
  <si>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</si>
  <si>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</si>
  <si>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</si>
  <si>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</si>
  <si>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</si>
  <si>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</si>
  <si>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</si>
  <si>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</si>
  <si>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</si>
  <si>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</si>
  <si>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</si>
  <si>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</si>
  <si>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</si>
  <si>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</si>
  <si>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</si>
  <si>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</si>
  <si>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</si>
  <si>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</si>
  <si>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</si>
  <si>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</si>
  <si>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</si>
  <si>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</si>
  <si>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</si>
  <si>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</si>
  <si>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</si>
  <si>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</si>
  <si>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</si>
  <si>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</si>
  <si>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</si>
  <si>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</si>
  <si>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</si>
  <si>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</si>
  <si>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</si>
  <si>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</si>
  <si>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</si>
  <si>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</si>
  <si>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</si>
  <si>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</si>
  <si>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</si>
  <si>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</si>
  <si>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</si>
  <si>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</si>
  <si>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</si>
  <si>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</si>
  <si>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</si>
  <si>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</si>
  <si>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</si>
  <si>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</si>
  <si>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</si>
  <si>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</si>
  <si>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</si>
  <si>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</si>
  <si>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</si>
  <si>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</si>
  <si>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</si>
  <si>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</si>
  <si>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</si>
  <si>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</si>
  <si>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</si>
  <si>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</si>
  <si>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</si>
  <si>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</si>
  <si>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</si>
  <si>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</si>
  <si>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</si>
  <si>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</si>
  <si>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</si>
  <si>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</si>
  <si>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</si>
  <si>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</si>
  <si>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</si>
  <si>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</si>
  <si>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</si>
  <si>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</si>
  <si>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</si>
  <si>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</si>
  <si>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</si>
  <si>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</si>
  <si>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</si>
  <si>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</si>
  <si>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</si>
  <si>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</si>
  <si>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</si>
  <si>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</si>
  <si>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</si>
  <si>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</si>
  <si>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</si>
  <si>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</si>
  <si>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</si>
  <si>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</si>
  <si>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</si>
  <si>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</si>
  <si>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</si>
  <si>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</si>
  <si>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</si>
  <si>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</si>
  <si>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</si>
  <si>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</si>
  <si>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</si>
  <si>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</si>
  <si>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</si>
  <si>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</si>
  <si>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</si>
  <si>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</si>
  <si>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</si>
  <si>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</si>
  <si>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</si>
  <si>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</si>
  <si>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</si>
  <si>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</si>
  <si>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</si>
  <si>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</si>
  <si>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</si>
  <si>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</si>
  <si>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</si>
  <si>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</si>
  <si>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</si>
  <si>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</si>
  <si>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</si>
  <si>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</si>
  <si>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</si>
  <si>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</si>
  <si>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</si>
  <si>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</si>
  <si>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</si>
  <si>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</si>
  <si>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</si>
  <si>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</si>
  <si>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</si>
  <si>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</si>
  <si>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</si>
  <si>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</si>
  <si>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</si>
  <si>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</si>
  <si>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</si>
  <si>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</si>
  <si>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</si>
  <si>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</si>
  <si>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</si>
  <si>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</si>
  <si>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</si>
  <si>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</si>
  <si>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</si>
  <si>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</si>
  <si>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</si>
  <si>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</si>
  <si>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</si>
  <si>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</si>
  <si>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</si>
  <si>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</si>
  <si>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</si>
  <si>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</si>
  <si>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</si>
  <si>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</si>
  <si>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</si>
  <si>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</si>
  <si>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</si>
  <si>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</si>
  <si>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</si>
  <si>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</si>
  <si>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</si>
  <si>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</si>
  <si>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</si>
  <si>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</si>
  <si>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</si>
  <si>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</si>
  <si>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</si>
  <si>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</si>
  <si>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</si>
  <si>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</si>
  <si>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</si>
  <si>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</si>
  <si>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</si>
  <si>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</si>
  <si>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</si>
  <si>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</si>
  <si>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</si>
  <si>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</si>
  <si>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</si>
  <si>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</si>
  <si>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</si>
  <si>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</si>
  <si>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</si>
  <si>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</si>
  <si>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</si>
  <si>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</si>
  <si>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</si>
  <si>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</si>
  <si>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</si>
  <si>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</si>
  <si>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</si>
  <si>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</si>
  <si>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</si>
  <si>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</si>
  <si>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</si>
  <si>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</si>
  <si>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</si>
  <si>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</si>
  <si>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</si>
  <si>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</si>
  <si>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</si>
  <si>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</si>
  <si>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</si>
  <si>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</si>
  <si>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</si>
  <si>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</si>
  <si>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</si>
  <si>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</si>
  <si>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</si>
  <si>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</si>
  <si>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</si>
  <si>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</si>
  <si>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</si>
  <si>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</si>
  <si>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</si>
  <si>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</si>
  <si>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</si>
  <si>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</si>
  <si>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</si>
  <si>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</si>
  <si>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</si>
  <si>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</si>
  <si>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</si>
  <si>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</si>
  <si>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</si>
  <si>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</si>
  <si>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</si>
  <si>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</si>
  <si>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</si>
  <si>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</si>
  <si>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</si>
  <si>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</si>
  <si>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</si>
  <si>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</si>
  <si>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</si>
  <si>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</si>
  <si>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</si>
  <si>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</si>
  <si>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</si>
  <si>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</si>
  <si>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</si>
  <si>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</si>
  <si>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</si>
  <si>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</si>
  <si>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</si>
  <si>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</si>
  <si>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</si>
  <si>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</si>
  <si>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</si>
  <si>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</si>
  <si>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</si>
  <si>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</si>
  <si>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</si>
  <si>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</si>
  <si>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</si>
  <si>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</si>
  <si>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</si>
  <si>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</si>
  <si>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</si>
  <si>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</si>
  <si>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</si>
  <si>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</si>
  <si>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</si>
  <si>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</si>
  <si>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</si>
  <si>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</si>
  <si>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</si>
  <si>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</si>
  <si>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</si>
  <si>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</si>
  <si>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</si>
  <si>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</si>
  <si>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</si>
  <si>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</si>
  <si>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</si>
  <si>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</si>
  <si>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</si>
  <si>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</si>
  <si>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</si>
  <si>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</si>
  <si>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</si>
  <si>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</si>
  <si>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</si>
  <si>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</si>
  <si>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</si>
  <si>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</si>
  <si>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</si>
  <si>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</si>
  <si>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</si>
  <si>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</si>
  <si>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</si>
  <si>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</si>
  <si>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</si>
  <si>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</si>
  <si>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</si>
  <si>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</si>
  <si>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</si>
  <si>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</si>
  <si>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</si>
  <si>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</si>
  <si>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</si>
  <si>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</si>
  <si>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</si>
  <si>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</si>
  <si>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</si>
  <si>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</si>
  <si>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</si>
  <si>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</si>
  <si>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</si>
  <si>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</si>
  <si>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</si>
  <si>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</si>
  <si>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</si>
  <si>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</si>
  <si>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</si>
  <si>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</si>
  <si>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</si>
  <si>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</si>
  <si>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</si>
  <si>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</si>
  <si>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</si>
  <si>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</si>
  <si>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</si>
  <si>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</si>
  <si>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</si>
  <si>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</si>
  <si>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</si>
  <si>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</si>
  <si>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</si>
  <si>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</si>
  <si>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</si>
  <si>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</si>
  <si>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</si>
  <si>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</si>
  <si>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</si>
  <si>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</si>
  <si>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</si>
  <si>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</si>
  <si>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</si>
  <si>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</si>
  <si>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</si>
  <si>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</si>
  <si>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</si>
  <si>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</si>
  <si>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</si>
  <si>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</si>
  <si>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</si>
  <si>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</si>
  <si>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</si>
  <si>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</si>
  <si>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</si>
  <si>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</si>
  <si>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</si>
  <si>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</si>
  <si>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</si>
  <si>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</si>
  <si>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</si>
  <si>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</si>
  <si>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</si>
  <si>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</si>
  <si>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</si>
  <si>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</si>
  <si>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</si>
  <si>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</si>
  <si>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</si>
  <si>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</si>
  <si>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</si>
  <si>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</si>
  <si>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</si>
  <si>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</si>
  <si>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</si>
  <si>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</si>
  <si>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</si>
  <si>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</si>
  <si>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</si>
  <si>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</si>
  <si>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</si>
  <si>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</si>
  <si>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</si>
  <si>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</si>
  <si>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</si>
  <si>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</si>
  <si>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</si>
  <si>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</si>
  <si>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</si>
  <si>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</si>
  <si>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</si>
  <si>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</si>
  <si>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</si>
  <si>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</si>
  <si>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</si>
  <si>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</si>
  <si>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</si>
  <si>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</si>
  <si>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</si>
  <si>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</si>
  <si>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</si>
  <si>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</si>
  <si>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</si>
  <si>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</si>
  <si>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</si>
  <si>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</si>
  <si>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</si>
  <si>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</si>
  <si>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</si>
  <si>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</si>
  <si>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</si>
  <si>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</si>
  <si>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</si>
  <si>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</si>
  <si>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</si>
  <si>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</si>
  <si>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</si>
  <si>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</si>
  <si>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</si>
  <si>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</si>
  <si>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</si>
  <si>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</si>
  <si>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</si>
  <si>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</si>
  <si>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</si>
  <si>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</si>
  <si>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</si>
  <si>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</si>
  <si>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</si>
  <si>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</si>
  <si>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</si>
  <si>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</si>
  <si>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</si>
  <si>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</si>
  <si>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</si>
  <si>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</si>
  <si>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</si>
  <si>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</si>
  <si>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</si>
  <si>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</si>
  <si>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</si>
  <si>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</si>
  <si>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</si>
  <si>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</si>
  <si>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</si>
  <si>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</si>
  <si>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</si>
  <si>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</si>
  <si>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</si>
  <si>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</si>
  <si>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</si>
  <si>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</si>
  <si>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</si>
  <si>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</si>
  <si>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</si>
  <si>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</si>
  <si>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</si>
  <si>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</si>
  <si>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</si>
  <si>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</si>
  <si>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</si>
  <si>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</si>
  <si>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</si>
  <si>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</si>
  <si>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</si>
  <si>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</si>
  <si>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</si>
  <si>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</si>
  <si>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</si>
  <si>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</si>
  <si>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</si>
  <si>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</si>
  <si>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</si>
  <si>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</si>
  <si>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</si>
  <si>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</si>
  <si>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</si>
  <si>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</si>
  <si>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</si>
  <si>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</si>
  <si>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</si>
  <si>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</si>
  <si>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</si>
  <si>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</si>
  <si>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</si>
  <si>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</si>
  <si>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</si>
  <si>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</si>
  <si>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</si>
  <si>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</si>
  <si>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</si>
  <si>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</si>
  <si>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</si>
  <si>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</si>
  <si>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</si>
  <si>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</si>
  <si>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</si>
  <si>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</si>
  <si>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</si>
  <si>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</si>
  <si>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</si>
  <si>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</si>
  <si>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</si>
  <si>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</si>
  <si>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</si>
  <si>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</si>
  <si>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</si>
  <si>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</si>
  <si>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</si>
  <si>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</si>
  <si>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</si>
  <si>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</si>
  <si>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</si>
  <si>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</si>
  <si>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</si>
  <si>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</si>
  <si>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</si>
  <si>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</si>
  <si>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</si>
  <si>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</si>
  <si>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</si>
  <si>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</si>
  <si>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</si>
  <si>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</si>
  <si>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</si>
  <si>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</si>
  <si>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</si>
  <si>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</si>
  <si>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</si>
  <si>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</si>
  <si>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</si>
  <si>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</si>
  <si>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</si>
  <si>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</si>
  <si>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</si>
  <si>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</si>
  <si>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</si>
  <si>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</si>
  <si>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</si>
  <si>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</si>
  <si>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</si>
  <si>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</si>
  <si>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</si>
  <si>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</si>
  <si>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</si>
  <si>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</si>
  <si>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</si>
  <si>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</si>
  <si>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</si>
  <si>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</si>
  <si>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</si>
  <si>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</si>
  <si>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</si>
  <si>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</si>
  <si>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</si>
  <si>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</si>
  <si>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</si>
  <si>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</si>
  <si>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</si>
  <si>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</si>
  <si>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</si>
  <si>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</si>
  <si>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</si>
  <si>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</si>
  <si>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</si>
  <si>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</si>
  <si>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</si>
  <si>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</si>
  <si>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</si>
  <si>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</si>
  <si>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</si>
  <si>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</si>
  <si>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</si>
  <si>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</si>
  <si>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</si>
  <si>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</si>
  <si>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</si>
  <si>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</si>
  <si>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</si>
  <si>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</si>
  <si>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</si>
  <si>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</si>
  <si>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</si>
  <si>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</si>
  <si>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</si>
  <si>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</si>
  <si>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</si>
  <si>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</si>
  <si>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</si>
  <si>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</si>
  <si>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</si>
  <si>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</si>
  <si>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</si>
  <si>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</si>
  <si>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</si>
  <si>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</si>
  <si>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</si>
  <si>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</si>
  <si>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</si>
  <si>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</si>
  <si>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</si>
  <si>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</si>
  <si>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</si>
  <si>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</si>
  <si>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</si>
  <si>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</si>
  <si>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</si>
  <si>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</si>
  <si>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</si>
  <si>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</si>
  <si>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</si>
  <si>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</si>
  <si>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</si>
  <si>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</si>
  <si>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</si>
  <si>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</si>
  <si>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</si>
  <si>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</si>
  <si>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</si>
  <si>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</si>
  <si>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</si>
  <si>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</si>
  <si>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</si>
  <si>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</si>
  <si>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</si>
  <si>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</si>
  <si>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</si>
  <si>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</si>
  <si>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</si>
  <si>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</si>
  <si>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</si>
  <si>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</si>
  <si>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</si>
  <si>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</si>
  <si>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</si>
  <si>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</si>
  <si>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</si>
  <si>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</si>
  <si>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</si>
  <si>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</si>
  <si>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</si>
  <si>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</si>
  <si>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</si>
  <si>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</si>
  <si>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</si>
  <si>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</si>
  <si>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</si>
  <si>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</si>
  <si>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</si>
  <si>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</si>
  <si>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</si>
  <si>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</si>
  <si>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</si>
  <si>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</si>
  <si>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</si>
  <si>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</si>
  <si>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</si>
  <si>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</si>
  <si>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</si>
  <si>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</si>
  <si>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</si>
  <si>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</si>
  <si>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</si>
  <si>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</si>
  <si>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</si>
  <si>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</si>
  <si>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</si>
  <si>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</si>
  <si>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</si>
  <si>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</si>
  <si>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</si>
  <si>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</si>
  <si>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</si>
  <si>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</si>
  <si>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</si>
  <si>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</si>
  <si>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</si>
  <si>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</si>
  <si>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</si>
  <si>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</si>
  <si>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</si>
  <si>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</si>
  <si>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</si>
  <si>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</si>
  <si>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</si>
  <si>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</si>
  <si>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</si>
  <si>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</si>
  <si>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</si>
  <si>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</si>
  <si>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</si>
  <si>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</si>
  <si>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</si>
  <si>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</si>
  <si>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</si>
  <si>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</si>
  <si>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</si>
  <si>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</si>
  <si>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</si>
  <si>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</si>
  <si>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</si>
  <si>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</si>
  <si>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</si>
  <si>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</si>
  <si>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</si>
  <si>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</si>
  <si>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</si>
  <si>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</si>
  <si>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</si>
  <si>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</si>
  <si>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</si>
  <si>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</si>
  <si>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</si>
  <si>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</si>
  <si>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</si>
  <si>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</si>
  <si>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</si>
  <si>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</si>
  <si>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</si>
  <si>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</si>
  <si>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</si>
  <si>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</si>
  <si>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</si>
  <si>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</si>
  <si>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</si>
  <si>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</si>
  <si>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</si>
  <si>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</si>
  <si>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</si>
  <si>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</si>
  <si>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</si>
  <si>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</si>
  <si>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</si>
  <si>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</si>
  <si>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</si>
  <si>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</si>
  <si>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</si>
  <si>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</si>
  <si>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</si>
  <si>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</si>
  <si>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</si>
  <si>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</si>
  <si>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</si>
  <si>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</si>
  <si>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</si>
  <si>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</si>
  <si>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</si>
  <si>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</si>
  <si>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</si>
  <si>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</si>
  <si>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</si>
  <si>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</si>
  <si>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</si>
  <si>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</si>
  <si>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</si>
  <si>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</si>
  <si>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</si>
  <si>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</si>
  <si>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</si>
  <si>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</si>
  <si>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</si>
  <si>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</si>
  <si>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</si>
  <si>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</si>
  <si>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</si>
  <si>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</si>
  <si>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</si>
  <si>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</si>
  <si>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</si>
  <si>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</si>
  <si>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</si>
  <si>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</si>
  <si>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</si>
  <si>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</si>
  <si>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</si>
  <si>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</si>
  <si>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</si>
  <si>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</si>
  <si>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</si>
  <si>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</si>
  <si>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</si>
  <si>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</si>
  <si>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</si>
  <si>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</si>
  <si>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</si>
  <si>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</si>
  <si>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</si>
  <si>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</si>
  <si>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</si>
  <si>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</si>
  <si>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</si>
  <si>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</si>
  <si>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</si>
  <si>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</si>
  <si>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</si>
  <si>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</si>
  <si>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</si>
  <si>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</si>
  <si>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</si>
  <si>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</si>
  <si>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</si>
  <si>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</si>
  <si>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</si>
  <si>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</si>
  <si>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</si>
  <si>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</si>
  <si>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</si>
  <si>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</si>
  <si>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</si>
  <si>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</si>
  <si>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</si>
  <si>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</si>
  <si>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</si>
  <si>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</si>
  <si>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</si>
  <si>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</si>
  <si>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</si>
  <si>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</si>
  <si>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</si>
  <si>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</si>
  <si>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</si>
  <si>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</si>
  <si>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</si>
  <si>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</si>
  <si>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</si>
  <si>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</si>
  <si>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</si>
  <si>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</si>
  <si>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</si>
  <si>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</si>
  <si>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</si>
  <si>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</si>
  <si>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</si>
  <si>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</si>
  <si>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</si>
  <si>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</si>
  <si>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</si>
  <si>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</si>
  <si>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</si>
  <si>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</si>
  <si>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</si>
  <si>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</si>
  <si>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</si>
  <si>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</si>
  <si>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</si>
  <si>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</si>
  <si>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</si>
  <si>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</si>
  <si>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</si>
  <si>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</si>
  <si>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</si>
  <si>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</si>
  <si>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</si>
  <si>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</si>
  <si>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</si>
  <si>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</si>
  <si>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</si>
  <si>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</si>
  <si>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</si>
  <si>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</si>
  <si>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</si>
  <si>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</si>
  <si>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</si>
  <si>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</si>
  <si>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</si>
  <si>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</si>
  <si>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</si>
  <si>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</si>
  <si>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</si>
  <si>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</si>
  <si>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</si>
  <si>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</si>
  <si>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</si>
  <si>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</si>
  <si>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</si>
  <si>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</si>
  <si>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</si>
  <si>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</si>
  <si>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</si>
  <si>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</si>
  <si>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</si>
  <si>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</si>
  <si>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</si>
  <si>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</si>
  <si>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</si>
  <si>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</si>
  <si>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</si>
  <si>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</si>
  <si>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</si>
  <si>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</si>
  <si>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</si>
  <si>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</si>
  <si>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</si>
  <si>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</si>
  <si>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</si>
  <si>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</si>
  <si>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</si>
  <si>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</si>
  <si>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</si>
  <si>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</si>
  <si>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</si>
  <si>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</si>
  <si>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</si>
  <si>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</si>
  <si>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</si>
  <si>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</si>
  <si>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</si>
  <si>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</si>
  <si>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</si>
  <si>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</si>
  <si>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</si>
  <si>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</si>
  <si>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</si>
  <si>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</si>
  <si>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</si>
  <si>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</si>
  <si>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</si>
  <si>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</si>
  <si>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</si>
  <si>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</si>
  <si>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</si>
  <si>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</si>
  <si>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</si>
  <si>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</si>
  <si>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</si>
  <si>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</si>
  <si>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</si>
  <si>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</si>
  <si>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</si>
  <si>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</si>
  <si>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</si>
  <si>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</si>
  <si>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</si>
  <si>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</si>
  <si>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</si>
  <si>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</si>
  <si>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</si>
  <si>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</si>
  <si>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</si>
  <si>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</si>
  <si>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</si>
  <si>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</si>
  <si>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</si>
  <si>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</si>
  <si>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</si>
  <si>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</si>
  <si>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</si>
  <si>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</si>
  <si>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</si>
  <si>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</si>
  <si>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</si>
  <si>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</si>
  <si>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</si>
  <si>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</si>
  <si>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</si>
  <si>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</si>
  <si>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</si>
  <si>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</si>
  <si>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</si>
  <si>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</si>
  <si>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</si>
  <si>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</si>
  <si>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</si>
  <si>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</si>
  <si>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</si>
  <si>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</si>
  <si>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</si>
  <si>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</si>
  <si>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</si>
  <si>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</si>
  <si>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</si>
  <si>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</si>
  <si>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</si>
  <si>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</si>
  <si>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</si>
  <si>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</si>
  <si>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</si>
  <si>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</si>
  <si>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</si>
  <si>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</si>
  <si>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</si>
  <si>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</si>
  <si>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</si>
  <si>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</si>
  <si>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</si>
  <si>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</si>
  <si>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</si>
  <si>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</si>
  <si>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</si>
  <si>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</si>
  <si>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</si>
  <si>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</si>
  <si>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</si>
  <si>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</si>
  <si>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</si>
  <si>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</si>
  <si>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</si>
  <si>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</si>
  <si>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</si>
  <si>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</si>
  <si>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</si>
  <si>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</si>
  <si>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</si>
  <si>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</si>
  <si>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</si>
  <si>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</si>
  <si>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</si>
  <si>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</si>
  <si>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</si>
  <si>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</si>
  <si>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</si>
  <si>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</si>
  <si>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</si>
  <si>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</si>
  <si>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</si>
  <si>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</si>
  <si>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</si>
  <si>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</si>
  <si>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</si>
  <si>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</si>
  <si>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</si>
  <si>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</si>
  <si>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</si>
  <si>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</si>
  <si>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</si>
  <si>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</si>
  <si>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</si>
  <si>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</si>
  <si>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</si>
  <si>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</si>
  <si>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</si>
  <si>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</si>
  <si>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</si>
  <si>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</si>
  <si>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</si>
  <si>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</si>
  <si>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</si>
  <si>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</si>
  <si>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</si>
  <si>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</si>
  <si>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</si>
  <si>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</si>
  <si>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</si>
  <si>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</si>
  <si>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</si>
  <si>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</si>
  <si>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</si>
  <si>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</si>
  <si>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</si>
  <si>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</si>
  <si>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</si>
  <si>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</si>
  <si>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</si>
  <si>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</si>
  <si>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</si>
  <si>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</si>
  <si>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</si>
  <si>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</si>
  <si>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</si>
  <si>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</si>
  <si>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</si>
  <si>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</si>
  <si>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</si>
  <si>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</si>
  <si>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</si>
  <si>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</si>
  <si>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</si>
  <si>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</si>
  <si>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</si>
  <si>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</si>
  <si>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</si>
  <si>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</si>
  <si>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</si>
  <si>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</si>
  <si>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</si>
  <si>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</si>
  <si>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</si>
  <si>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</si>
  <si>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</si>
  <si>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</si>
  <si>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</si>
  <si>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</si>
  <si>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</si>
  <si>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</si>
  <si>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</si>
  <si>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</si>
  <si>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</si>
  <si>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</si>
  <si>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</si>
  <si>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</si>
  <si>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</si>
  <si>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</si>
  <si>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</si>
  <si>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</si>
  <si>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</si>
  <si>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</si>
  <si>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</si>
  <si>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</si>
  <si>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</si>
  <si>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</si>
  <si>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</si>
  <si>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</si>
  <si>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</si>
  <si>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</si>
  <si>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</si>
  <si>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</si>
  <si>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</si>
  <si>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</si>
  <si>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</si>
  <si>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</si>
  <si>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</si>
  <si>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</si>
  <si>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</si>
  <si>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</si>
  <si>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</si>
  <si>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</si>
  <si>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</si>
  <si>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</si>
  <si>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</si>
  <si>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</si>
  <si>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</si>
  <si>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</si>
  <si>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</si>
  <si>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</si>
  <si>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</si>
  <si>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</si>
  <si>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</si>
  <si>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</si>
  <si>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</si>
  <si>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</si>
  <si>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</si>
  <si>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</si>
  <si>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</si>
  <si>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</si>
  <si>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</si>
  <si>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</si>
  <si>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</si>
  <si>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</si>
  <si>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</si>
  <si>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</si>
  <si>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</si>
  <si>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</si>
  <si>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</si>
  <si>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</si>
  <si>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</si>
  <si>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</si>
  <si>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</si>
  <si>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</si>
  <si>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</si>
  <si>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</si>
  <si>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</si>
  <si>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</si>
  <si>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</si>
  <si>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</si>
  <si>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</si>
  <si>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</si>
  <si>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</si>
  <si>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</si>
  <si>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</si>
  <si>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</si>
  <si>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</si>
  <si>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</si>
  <si>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</si>
  <si>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</si>
  <si>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</si>
  <si>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</si>
  <si>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</si>
  <si>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</si>
  <si>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</si>
  <si>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</si>
  <si>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</si>
  <si>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</si>
  <si>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</si>
  <si>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</si>
  <si>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</si>
  <si>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</si>
  <si>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</si>
  <si>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</si>
  <si>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</si>
  <si>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</si>
  <si>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</si>
  <si>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</si>
  <si>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</si>
  <si>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</si>
  <si>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</si>
  <si>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</si>
  <si>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</si>
  <si>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</si>
  <si>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</si>
  <si>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</si>
  <si>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</si>
  <si>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</si>
  <si>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</si>
  <si>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</si>
  <si>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</si>
  <si>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</si>
  <si>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</si>
  <si>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</si>
  <si>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</si>
  <si>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</si>
  <si>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</si>
  <si>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</si>
  <si>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</si>
  <si>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</si>
  <si>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</si>
  <si>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</si>
  <si>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</si>
  <si>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</si>
  <si>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</si>
  <si>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</si>
  <si>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</si>
  <si>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</si>
  <si>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</si>
  <si>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</si>
  <si>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</si>
  <si>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</si>
  <si>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</si>
  <si>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</si>
  <si>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</si>
  <si>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</si>
  <si>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</si>
  <si>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</si>
  <si>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</si>
  <si>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</si>
  <si>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</si>
  <si>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</si>
  <si>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</si>
  <si>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</si>
  <si>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</si>
  <si>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</si>
  <si>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</si>
  <si>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</si>
  <si>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</si>
  <si>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</si>
  <si>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</si>
  <si>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</si>
  <si>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</si>
  <si>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</si>
  <si>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</si>
  <si>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</si>
  <si>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</si>
  <si>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</si>
  <si>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</si>
  <si>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</si>
  <si>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</si>
  <si>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</si>
  <si>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</si>
  <si>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</si>
  <si>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</si>
  <si>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</si>
  <si>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</si>
  <si>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</si>
  <si>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</si>
  <si>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</si>
  <si>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</si>
  <si>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</si>
  <si>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</si>
  <si>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</si>
  <si>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</si>
  <si>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</si>
  <si>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</si>
  <si>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</si>
  <si>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</si>
  <si>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</si>
  <si>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</si>
  <si>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</si>
  <si>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</si>
  <si>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</si>
  <si>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</si>
  <si>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</si>
  <si>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</si>
  <si>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</si>
  <si>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</si>
  <si>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</si>
  <si>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</si>
  <si>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</si>
  <si>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</si>
  <si>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</si>
  <si>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</si>
  <si>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</si>
  <si>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</si>
  <si>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</si>
  <si>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</si>
  <si>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</si>
  <si>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</si>
  <si>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</si>
  <si>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</si>
  <si>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</si>
  <si>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</si>
  <si>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</si>
  <si>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</si>
  <si>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</si>
  <si>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</si>
  <si>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</si>
  <si>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</si>
  <si>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</si>
  <si>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</si>
  <si>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</si>
  <si>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</si>
  <si>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</si>
  <si>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</si>
  <si>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</si>
  <si>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</si>
  <si>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</si>
  <si>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</si>
  <si>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</si>
  <si>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</si>
  <si>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</si>
  <si>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</si>
  <si>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</si>
  <si>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</si>
  <si>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</si>
  <si>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</si>
  <si>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</si>
  <si>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</si>
  <si>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</si>
  <si>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</si>
  <si>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</si>
  <si>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</si>
  <si>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</si>
  <si>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</si>
  <si>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</si>
  <si>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</si>
  <si>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</si>
  <si>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</si>
  <si>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</si>
  <si>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</si>
  <si>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</si>
  <si>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</si>
  <si>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</si>
  <si>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</si>
  <si>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</si>
  <si>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</si>
  <si>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</si>
  <si>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</si>
  <si>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</si>
  <si>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</si>
  <si>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</si>
  <si>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</si>
  <si>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</si>
  <si>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</si>
  <si>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</si>
  <si>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</si>
  <si>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</si>
  <si>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</si>
  <si>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</si>
  <si>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</si>
  <si>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</si>
  <si>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</si>
  <si>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</si>
  <si>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</si>
  <si>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</si>
  <si>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</si>
  <si>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</si>
  <si>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</si>
  <si>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</si>
  <si>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</si>
  <si>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</si>
  <si>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</si>
  <si>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</si>
  <si>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</si>
  <si>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</si>
  <si>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</si>
  <si>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</si>
  <si>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</si>
  <si>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</si>
  <si>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</si>
  <si>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</si>
  <si>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</si>
  <si>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</si>
  <si>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</si>
  <si>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</si>
  <si>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</si>
  <si>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</si>
  <si>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</si>
  <si>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</si>
  <si>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</si>
  <si>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</si>
  <si>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</si>
  <si>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</si>
  <si>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</si>
  <si>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</si>
  <si>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</si>
  <si>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</si>
  <si>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</si>
  <si>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</si>
  <si>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</si>
  <si>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</si>
  <si>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</si>
  <si>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</si>
  <si>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</si>
  <si>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</si>
  <si>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</si>
  <si>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</si>
  <si>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</si>
  <si>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</si>
  <si>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</si>
  <si>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</si>
  <si>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</si>
  <si>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</si>
  <si>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</si>
  <si>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</si>
  <si>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</si>
  <si>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</si>
  <si>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</si>
  <si>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</si>
  <si>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</si>
  <si>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</si>
  <si>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</si>
  <si>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</si>
  <si>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</si>
  <si>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</si>
  <si>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</si>
  <si>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</si>
  <si>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</si>
  <si>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</si>
  <si>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</si>
  <si>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</si>
  <si>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</si>
  <si>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</si>
  <si>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</si>
  <si>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</si>
  <si>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</si>
  <si>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</si>
  <si>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</si>
  <si>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</si>
  <si>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</si>
  <si>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</si>
  <si>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</si>
  <si>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</si>
  <si>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</si>
  <si>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</si>
  <si>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</si>
  <si>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</si>
  <si>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</si>
  <si>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</si>
  <si>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</si>
  <si>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</si>
  <si>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</si>
  <si>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</si>
  <si>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</si>
  <si>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</si>
  <si>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</si>
  <si>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</si>
  <si>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</si>
  <si>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</si>
  <si>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</si>
  <si>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</si>
  <si>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</si>
  <si>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</si>
  <si>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</si>
  <si>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</si>
  <si>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</si>
  <si>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</si>
  <si>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</si>
  <si>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</si>
  <si>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</si>
  <si>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</si>
  <si>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</si>
  <si>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</si>
  <si>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</si>
  <si>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</si>
  <si>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</si>
  <si>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</si>
  <si>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</si>
  <si>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</si>
  <si>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</si>
  <si>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</si>
  <si>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</si>
  <si>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</si>
  <si>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</si>
  <si>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</si>
  <si>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</si>
  <si>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</si>
  <si>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</si>
  <si>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</si>
  <si>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</si>
  <si>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</si>
  <si>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</si>
  <si>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</si>
  <si>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</si>
  <si>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</si>
  <si>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</si>
  <si>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</si>
  <si>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</si>
  <si>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</si>
  <si>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</si>
  <si>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</si>
  <si>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</si>
  <si>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</si>
  <si>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</si>
  <si>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</si>
  <si>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</si>
  <si>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</si>
  <si>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</si>
  <si>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</si>
  <si>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</si>
  <si>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</si>
  <si>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</si>
  <si>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</si>
  <si>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</si>
  <si>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</si>
  <si>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</si>
  <si>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</si>
  <si>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</si>
  <si>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</si>
  <si>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</si>
  <si>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</si>
  <si>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</si>
  <si>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</si>
  <si>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</si>
  <si>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</si>
  <si>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</si>
  <si>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</si>
  <si>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</si>
  <si>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</si>
  <si>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</si>
  <si>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</si>
  <si>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</si>
  <si>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</si>
  <si>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</si>
  <si>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</si>
  <si>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</si>
  <si>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</si>
  <si>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</si>
  <si>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</si>
  <si>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</si>
  <si>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</si>
  <si>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</si>
  <si>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</si>
  <si>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</si>
  <si>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</si>
  <si>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</si>
  <si>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</si>
  <si>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</si>
  <si>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</si>
  <si>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</si>
  <si>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</si>
  <si>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</si>
  <si>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</si>
  <si>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</si>
  <si>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</si>
  <si>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</si>
  <si>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</si>
  <si>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</si>
  <si>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</si>
  <si>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</si>
  <si>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</si>
  <si>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</si>
  <si>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</si>
  <si>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</si>
  <si>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</si>
  <si>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</si>
  <si>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</si>
  <si>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</si>
  <si>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</si>
  <si>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</si>
  <si>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</si>
  <si>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</si>
  <si>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</si>
  <si>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</si>
  <si>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</si>
  <si>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</si>
  <si>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</si>
  <si>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</si>
  <si>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</si>
  <si>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</si>
  <si>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</si>
  <si>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</si>
  <si>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</si>
  <si>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</si>
  <si>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</si>
  <si>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</si>
  <si>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</si>
  <si>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</si>
  <si>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</si>
  <si>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</si>
  <si>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</si>
  <si>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</si>
  <si>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</si>
  <si>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</si>
  <si>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</si>
  <si>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</si>
  <si>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</si>
  <si>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</si>
  <si>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</si>
  <si>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</si>
  <si>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</si>
  <si>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</si>
  <si>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</si>
  <si>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</si>
  <si>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</si>
  <si>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</si>
  <si>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</si>
  <si>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</si>
  <si>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</si>
  <si>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</si>
  <si>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</si>
  <si>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</si>
  <si>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</si>
  <si>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</si>
  <si>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</si>
  <si>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</si>
  <si>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</si>
  <si>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</si>
  <si>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</si>
  <si>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</si>
  <si>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</si>
  <si>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</si>
  <si>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</si>
  <si>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</si>
  <si>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</si>
  <si>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</si>
  <si>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</si>
  <si>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</si>
  <si>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</si>
  <si>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</si>
  <si>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</si>
  <si>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</si>
  <si>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</si>
  <si>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</si>
  <si>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</si>
  <si>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</si>
  <si>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</si>
  <si>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</si>
  <si>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</si>
  <si>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</si>
  <si>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</si>
  <si>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</si>
  <si>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</si>
  <si>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</si>
  <si>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</si>
  <si>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</si>
  <si>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</si>
  <si>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</si>
  <si>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</si>
  <si>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</si>
  <si>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</si>
  <si>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</si>
  <si>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</si>
  <si>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</si>
  <si>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</si>
  <si>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</si>
  <si>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</si>
  <si>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</si>
  <si>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</si>
  <si>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</si>
  <si>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</si>
  <si>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</si>
  <si>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</si>
  <si>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</si>
  <si>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</si>
  <si>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</si>
  <si>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</si>
  <si>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</si>
  <si>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</si>
  <si>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</si>
  <si>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</si>
  <si>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</si>
  <si>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</si>
  <si>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</si>
  <si>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</si>
  <si>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</si>
  <si>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</si>
  <si>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</si>
  <si>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</si>
  <si>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</si>
  <si>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</si>
  <si>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</si>
  <si>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</si>
  <si>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</si>
  <si>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</si>
  <si>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</si>
  <si>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</si>
  <si>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</si>
  <si>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</si>
  <si>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</si>
  <si>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</si>
  <si>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</si>
  <si>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</si>
  <si>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</si>
  <si>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</si>
  <si>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</si>
  <si>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</si>
  <si>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</si>
  <si>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</si>
  <si>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</si>
  <si>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</si>
  <si>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</si>
  <si>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</si>
  <si>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</si>
  <si>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</si>
  <si>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</si>
  <si>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</si>
  <si>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</si>
  <si>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</si>
  <si>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</si>
  <si>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</si>
  <si>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</si>
  <si>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</si>
  <si>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</si>
  <si>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</si>
  <si>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</si>
  <si>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</si>
  <si>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</si>
  <si>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</si>
  <si>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</si>
  <si>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</si>
  <si>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</si>
  <si>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</si>
  <si>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</si>
  <si>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</si>
  <si>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</si>
  <si>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</si>
  <si>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</si>
  <si>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</si>
  <si>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</si>
  <si>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</si>
  <si>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</si>
  <si>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</si>
  <si>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</si>
  <si>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</si>
  <si>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</si>
  <si>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</si>
  <si>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</si>
  <si>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</si>
  <si>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</si>
  <si>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</si>
  <si>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</si>
  <si>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</si>
  <si>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</si>
  <si>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</si>
  <si>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</si>
  <si>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</si>
  <si>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</si>
  <si>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</si>
  <si>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</si>
  <si>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</si>
  <si>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</si>
  <si>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</si>
  <si>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</si>
  <si>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</si>
  <si>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</si>
  <si>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</si>
  <si>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</si>
  <si>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</si>
  <si>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</si>
  <si>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</si>
  <si>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</si>
  <si>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</si>
  <si>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</si>
  <si>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</si>
  <si>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</si>
  <si>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</si>
  <si>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</si>
  <si>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</si>
  <si>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</si>
  <si>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</si>
  <si>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</si>
  <si>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</si>
  <si>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</si>
  <si>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</si>
  <si>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</si>
  <si>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</si>
  <si>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</si>
  <si>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</si>
  <si>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</si>
  <si>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</si>
  <si>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</si>
  <si>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</si>
  <si>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</si>
  <si>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</si>
  <si>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</si>
  <si>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</si>
  <si>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</si>
  <si>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</si>
  <si>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</si>
  <si>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</si>
  <si>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</si>
  <si>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</si>
  <si>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</si>
  <si>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</si>
  <si>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</si>
  <si>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</si>
  <si>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</si>
  <si>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</si>
  <si>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</si>
  <si>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</si>
  <si>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</si>
  <si>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</si>
  <si>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</si>
  <si>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</si>
  <si>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</si>
  <si>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</si>
  <si>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</si>
  <si>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</si>
  <si>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</si>
  <si>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</si>
  <si>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</si>
  <si>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</si>
  <si>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</si>
  <si>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</si>
  <si>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</si>
  <si>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</si>
  <si>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</si>
  <si>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</si>
  <si>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</si>
  <si>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</si>
  <si>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</si>
  <si>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</si>
  <si>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</si>
  <si>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</si>
  <si>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</si>
  <si>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</si>
  <si>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</si>
  <si>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</si>
  <si>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</si>
  <si>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</si>
  <si>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</si>
  <si>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</si>
  <si>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</si>
  <si>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</si>
  <si>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</si>
  <si>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</si>
  <si>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</si>
  <si>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</si>
  <si>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</si>
  <si>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</si>
  <si>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</si>
  <si>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</si>
  <si>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</si>
  <si>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</si>
  <si>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</si>
  <si>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</si>
  <si>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</si>
  <si>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</si>
  <si>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</si>
  <si>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</si>
  <si>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</si>
  <si>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</si>
  <si>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</si>
  <si>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</si>
  <si>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</si>
  <si>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</si>
  <si>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</si>
  <si>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</si>
  <si>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</si>
  <si>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</si>
  <si>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</si>
  <si>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</si>
  <si>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</si>
  <si>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</si>
  <si>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</si>
  <si>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</si>
  <si>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</si>
  <si>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</si>
  <si>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</si>
  <si>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</si>
  <si>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</si>
  <si>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</si>
  <si>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</si>
  <si>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</si>
  <si>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</si>
  <si>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</si>
  <si>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</si>
  <si>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</si>
  <si>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</si>
  <si>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</si>
  <si>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</si>
  <si>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</si>
  <si>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</si>
  <si>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</si>
  <si>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</si>
  <si>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</si>
  <si>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</si>
  <si>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</si>
  <si>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</si>
  <si>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</si>
  <si>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</si>
  <si>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</si>
  <si>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</si>
  <si>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</si>
  <si>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</si>
  <si>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</si>
  <si>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</si>
  <si>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</si>
  <si>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</si>
  <si>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</si>
  <si>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</si>
  <si>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</si>
  <si>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</si>
  <si>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</si>
  <si>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</si>
  <si>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</si>
  <si>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</si>
  <si>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</si>
  <si>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</si>
  <si>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</si>
  <si>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</si>
  <si>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</si>
  <si>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</si>
  <si>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</si>
  <si>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</si>
  <si>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</si>
  <si>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</si>
  <si>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</si>
  <si>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</si>
  <si>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</si>
  <si>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</si>
  <si>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</si>
  <si>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</si>
  <si>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</si>
  <si>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</si>
  <si>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</si>
  <si>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</si>
  <si>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</si>
  <si>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</si>
  <si>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</si>
  <si>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</si>
  <si>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</si>
  <si>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</si>
  <si>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</si>
  <si>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</si>
  <si>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</si>
  <si>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</si>
  <si>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</si>
  <si>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</si>
  <si>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</si>
  <si>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</si>
  <si>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</si>
  <si>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</si>
  <si>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</si>
  <si>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</si>
  <si>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</si>
  <si>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</si>
  <si>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</si>
  <si>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</si>
  <si>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</si>
  <si>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</si>
  <si>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</si>
  <si>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</si>
  <si>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</si>
  <si>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</si>
  <si>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</si>
  <si>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</si>
  <si>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</si>
  <si>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</si>
  <si>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</si>
  <si>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</si>
  <si>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</si>
  <si>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</si>
  <si>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</si>
  <si>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</si>
  <si>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</si>
  <si>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</si>
  <si>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</si>
  <si>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</si>
  <si>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</si>
  <si>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</si>
  <si>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</si>
  <si>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</si>
  <si>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</si>
  <si>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</si>
  <si>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</si>
  <si>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</si>
  <si>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</si>
  <si>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</si>
  <si>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</si>
  <si>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</si>
  <si>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</si>
  <si>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</si>
  <si>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</si>
  <si>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</si>
  <si>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</si>
  <si>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</si>
  <si>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</si>
  <si>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</si>
  <si>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</si>
  <si>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</si>
  <si>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</si>
  <si>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</si>
  <si>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</si>
  <si>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</si>
  <si>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</si>
  <si>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</si>
  <si>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</si>
  <si>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</si>
  <si>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</si>
  <si>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</si>
  <si>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</si>
  <si>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</si>
  <si>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</si>
  <si>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</si>
  <si>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</si>
  <si>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</si>
  <si>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</si>
  <si>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</si>
  <si>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</si>
  <si>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</si>
  <si>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</si>
  <si>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</si>
  <si>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</si>
  <si>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</si>
  <si>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</si>
  <si>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</si>
  <si>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</si>
  <si>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</si>
  <si>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</si>
  <si>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</si>
  <si>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</si>
  <si>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</si>
  <si>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</si>
  <si>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</si>
  <si>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</si>
  <si>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</si>
  <si>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</si>
  <si>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</si>
  <si>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</si>
  <si>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</si>
  <si>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</si>
  <si>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</si>
  <si>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</si>
  <si>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</si>
  <si>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</si>
  <si>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</si>
  <si>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</si>
  <si>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</si>
  <si>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</si>
  <si>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</si>
  <si>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</si>
  <si>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</si>
  <si>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</si>
  <si>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</si>
  <si>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</si>
  <si>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</si>
  <si>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</si>
  <si>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</si>
  <si>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</si>
  <si>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</si>
  <si>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</si>
  <si>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</si>
  <si>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</si>
  <si>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</si>
  <si>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</si>
  <si>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</si>
  <si>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</si>
  <si>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</si>
  <si>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</si>
  <si>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</si>
  <si>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</si>
  <si>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</si>
  <si>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</si>
  <si>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</si>
  <si>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</si>
  <si>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</si>
  <si>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</si>
  <si>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</si>
  <si>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</si>
  <si>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</si>
  <si>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</si>
  <si>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</si>
  <si>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</si>
  <si>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</si>
  <si>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</si>
  <si>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</si>
  <si>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</si>
  <si>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</si>
  <si>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</si>
  <si>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</si>
  <si>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</si>
  <si>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</si>
  <si>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</si>
  <si>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</si>
  <si>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</si>
  <si>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</si>
  <si>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</si>
  <si>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</si>
  <si>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</si>
  <si>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</si>
  <si>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</si>
  <si>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</si>
  <si>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</si>
  <si>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</si>
  <si>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</si>
  <si>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</si>
  <si>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</si>
  <si>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</si>
  <si>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</si>
  <si>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</si>
  <si>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</si>
  <si>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</si>
  <si>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</si>
  <si>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</si>
  <si>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</si>
  <si>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</si>
  <si>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</si>
  <si>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</si>
  <si>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</si>
  <si>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</si>
  <si>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</si>
  <si>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</si>
  <si>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</si>
  <si>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</si>
  <si>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</si>
  <si>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</si>
  <si>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</si>
  <si>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</si>
  <si>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</si>
  <si>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</si>
  <si>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</si>
  <si>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</si>
  <si>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</si>
  <si>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</si>
  <si>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</si>
  <si>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</si>
  <si>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</si>
  <si>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</si>
  <si>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</si>
  <si>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</si>
  <si>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</si>
  <si>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</si>
  <si>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</si>
  <si>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</si>
  <si>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</si>
  <si>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</si>
  <si>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</si>
  <si>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</si>
  <si>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</si>
  <si>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</si>
  <si>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</si>
  <si>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</si>
  <si>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</si>
  <si>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</si>
  <si>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</si>
  <si>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</si>
  <si>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</si>
  <si>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</si>
  <si>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</si>
  <si>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</si>
  <si>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</si>
  <si>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</si>
  <si>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</si>
  <si>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</si>
  <si>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</si>
  <si>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</si>
  <si>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</si>
  <si>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</si>
  <si>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</si>
  <si>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</si>
  <si>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</si>
  <si>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</si>
  <si>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</si>
  <si>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</si>
  <si>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</si>
  <si>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</si>
  <si>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</si>
  <si>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</si>
  <si>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</si>
  <si>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</si>
  <si>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</si>
  <si>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</si>
  <si>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</si>
  <si>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</si>
  <si>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</si>
  <si>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</si>
  <si>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</si>
  <si>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</si>
  <si>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</si>
  <si>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</si>
  <si>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</si>
  <si>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</si>
  <si>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</si>
  <si>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</si>
  <si>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</si>
  <si>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</si>
  <si>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</si>
  <si>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</si>
  <si>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</si>
  <si>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</si>
  <si>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</si>
  <si>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</si>
  <si>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</si>
  <si>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</si>
  <si>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</si>
  <si>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</si>
  <si>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</si>
  <si>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</si>
  <si>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</si>
  <si>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</si>
  <si>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</si>
  <si>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</si>
  <si>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</si>
  <si>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</si>
  <si>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</si>
  <si>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</si>
  <si>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</si>
  <si>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</si>
  <si>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</si>
  <si>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</si>
  <si>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</si>
  <si>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</si>
  <si>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</si>
  <si>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</si>
  <si>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</si>
  <si>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</si>
  <si>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</si>
  <si>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</si>
  <si>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</si>
  <si>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</si>
  <si>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</si>
  <si>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</si>
  <si>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</si>
  <si>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</si>
  <si>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</si>
  <si>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</si>
  <si>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</si>
  <si>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</si>
  <si>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</si>
  <si>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</si>
  <si>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</si>
  <si>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</si>
  <si>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</si>
  <si>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</si>
  <si>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</si>
  <si>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</si>
  <si>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</si>
  <si>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</si>
  <si>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</si>
  <si>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</si>
  <si>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</si>
  <si>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</si>
  <si>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</si>
  <si>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</si>
  <si>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</si>
  <si>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</si>
  <si>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</si>
  <si>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</si>
  <si>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</si>
  <si>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</si>
  <si>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</si>
  <si>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</si>
  <si>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</si>
  <si>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</si>
  <si>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</si>
  <si>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</si>
  <si>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</si>
  <si>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</si>
  <si>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</si>
  <si>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</si>
  <si>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</si>
  <si>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</si>
  <si>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</si>
  <si>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</si>
  <si>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</si>
  <si>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</si>
  <si>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</si>
  <si>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</si>
  <si>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</si>
  <si>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</si>
  <si>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</si>
  <si>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</si>
  <si>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</si>
  <si>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</si>
  <si>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</si>
  <si>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</si>
  <si>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</si>
  <si>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</si>
  <si>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</si>
  <si>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</si>
  <si>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</si>
  <si>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</si>
  <si>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</si>
  <si>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</si>
  <si>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</si>
  <si>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</si>
  <si>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</si>
  <si>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</si>
  <si>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</si>
  <si>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</si>
  <si>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</si>
  <si>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</si>
  <si>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</si>
  <si>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</si>
  <si>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</si>
  <si>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</si>
  <si>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</si>
  <si>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</si>
  <si>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</si>
  <si>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</si>
  <si>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</si>
  <si>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</si>
  <si>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</si>
  <si>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</si>
  <si>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</si>
  <si>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</si>
  <si>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</si>
  <si>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</si>
  <si>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</si>
  <si>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</si>
  <si>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</si>
  <si>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</si>
  <si>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</si>
  <si>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</si>
  <si>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</si>
  <si>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</si>
  <si>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</si>
  <si>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</si>
  <si>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</si>
  <si>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</si>
  <si>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</si>
  <si>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</si>
  <si>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</si>
  <si>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</si>
  <si>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</si>
  <si>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</si>
  <si>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</si>
  <si>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</si>
  <si>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</si>
  <si>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</si>
  <si>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</si>
  <si>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</si>
  <si>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</si>
  <si>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</si>
  <si>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</si>
  <si>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</si>
  <si>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</si>
  <si>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</si>
  <si>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</si>
  <si>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</si>
  <si>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</si>
  <si>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</si>
  <si>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</si>
  <si>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</si>
  <si>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</si>
  <si>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</si>
  <si>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</si>
  <si>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</si>
  <si>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</si>
  <si>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</si>
  <si>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</si>
  <si>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</si>
  <si>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</si>
  <si>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</si>
  <si>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</si>
  <si>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</si>
  <si>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</si>
  <si>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</si>
  <si>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</si>
  <si>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</si>
  <si>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</si>
  <si>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</si>
  <si>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</si>
  <si>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</si>
  <si>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</si>
  <si>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</si>
  <si>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</si>
  <si>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</si>
  <si>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</si>
  <si>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</si>
  <si>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</si>
  <si>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</si>
  <si>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</si>
  <si>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</si>
  <si>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</si>
  <si>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</si>
  <si>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</si>
  <si>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</si>
  <si>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</si>
  <si>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</si>
  <si>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</si>
  <si>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</si>
  <si>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</si>
  <si>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</si>
  <si>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</si>
  <si>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</si>
  <si>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</si>
  <si>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</si>
  <si>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</si>
  <si>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</si>
  <si>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</si>
  <si>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</si>
  <si>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</si>
  <si>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</si>
  <si>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</si>
  <si>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</si>
  <si>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</si>
  <si>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</si>
  <si>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</si>
  <si>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</si>
  <si>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</si>
  <si>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</si>
  <si>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</si>
  <si>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</si>
  <si>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</si>
  <si>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</si>
  <si>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</si>
  <si>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</si>
  <si>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</si>
  <si>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</si>
  <si>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</si>
  <si>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</si>
  <si>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</si>
  <si>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</si>
  <si>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</si>
  <si>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</si>
  <si>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</si>
  <si>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</si>
  <si>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</si>
  <si>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</si>
  <si>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</si>
  <si>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</si>
  <si>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</si>
  <si>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</si>
  <si>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</si>
  <si>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</si>
  <si>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</si>
  <si>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</si>
  <si>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</si>
  <si>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</si>
  <si>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</si>
  <si>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</si>
  <si>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</si>
  <si>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</si>
  <si>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</si>
  <si>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</si>
  <si>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</si>
  <si>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</si>
  <si>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</si>
  <si>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</si>
  <si>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</si>
  <si>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</si>
  <si>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</si>
  <si>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</si>
  <si>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</si>
  <si>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</si>
  <si>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</si>
  <si>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</si>
  <si>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</si>
  <si>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</si>
  <si>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</si>
  <si>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</si>
  <si>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</si>
  <si>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</si>
  <si>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</si>
  <si>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</si>
  <si>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</si>
  <si>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</si>
  <si>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</si>
  <si>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</si>
  <si>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</si>
  <si>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</si>
  <si>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</si>
  <si>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</si>
  <si>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</si>
  <si>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</si>
  <si>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</si>
  <si>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</si>
  <si>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</si>
  <si>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</si>
  <si>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</si>
  <si>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</si>
  <si>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</si>
  <si>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</si>
  <si>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</si>
  <si>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</si>
  <si>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</si>
  <si>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</si>
  <si>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</si>
  <si>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</si>
  <si>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</si>
  <si>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</si>
  <si>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</si>
  <si>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</si>
  <si>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</si>
  <si>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</si>
  <si>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</si>
  <si>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</si>
  <si>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</si>
  <si>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</si>
  <si>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</si>
  <si>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</si>
  <si>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</si>
  <si>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</si>
  <si>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</si>
  <si>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</si>
  <si>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</si>
  <si>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</si>
  <si>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</si>
  <si>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</si>
  <si>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</si>
  <si>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</si>
  <si>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</si>
  <si>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</si>
  <si>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</si>
  <si>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</si>
  <si>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</si>
  <si>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</si>
  <si>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</si>
  <si>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</si>
  <si>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</si>
  <si>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</si>
  <si>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</si>
  <si>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</si>
  <si>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</si>
  <si>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</si>
  <si>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</si>
  <si>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</si>
  <si>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</si>
  <si>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</si>
  <si>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</si>
  <si>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</si>
  <si>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</si>
  <si>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</si>
  <si>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</si>
  <si>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</si>
  <si>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</si>
  <si>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</si>
  <si>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</si>
  <si>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</si>
  <si>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</si>
  <si>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</si>
  <si>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</si>
  <si>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</si>
  <si>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</si>
  <si>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</si>
  <si>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</si>
  <si>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</si>
  <si>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</si>
  <si>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</si>
  <si>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</si>
  <si>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</si>
  <si>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</si>
  <si>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</si>
  <si>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</si>
  <si>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</si>
  <si>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</si>
  <si>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</si>
  <si>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</si>
  <si>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</si>
  <si>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</si>
  <si>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</si>
  <si>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</si>
  <si>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</si>
  <si>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</si>
  <si>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</si>
  <si>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</si>
  <si>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</si>
  <si>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</si>
  <si>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</si>
  <si>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</si>
  <si>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</si>
  <si>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</si>
  <si>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</si>
  <si>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</si>
  <si>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</si>
  <si>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</si>
  <si>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</si>
  <si>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</si>
  <si>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</si>
  <si>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</si>
  <si>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</si>
  <si>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</si>
  <si>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</si>
  <si>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</si>
  <si>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</si>
  <si>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</si>
  <si>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</si>
  <si>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</si>
  <si>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</si>
  <si>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</si>
  <si>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</si>
  <si>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</si>
  <si>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</si>
  <si>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</si>
  <si>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</si>
  <si>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</si>
  <si>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</si>
  <si>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</si>
  <si>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</si>
  <si>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</si>
  <si>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</si>
  <si>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</si>
  <si>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</si>
  <si>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</si>
  <si>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</si>
  <si>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</si>
  <si>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</si>
  <si>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</si>
  <si>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</si>
  <si>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</si>
  <si>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</si>
  <si>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</si>
  <si>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</si>
  <si>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</si>
  <si>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</si>
  <si>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</si>
  <si>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</si>
  <si>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</si>
  <si>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</si>
  <si>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</si>
  <si>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</si>
  <si>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</si>
  <si>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</si>
  <si>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</si>
  <si>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</si>
  <si>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</si>
  <si>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</si>
  <si>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</si>
  <si>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</si>
  <si>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</si>
  <si>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</si>
  <si>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</si>
  <si>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</si>
  <si>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</si>
  <si>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</si>
  <si>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</si>
  <si>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</si>
  <si>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</si>
  <si>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</si>
  <si>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</si>
  <si>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</si>
  <si>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</si>
  <si>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</si>
  <si>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</si>
  <si>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</si>
  <si>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</si>
  <si>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</si>
  <si>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</si>
  <si>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</si>
  <si>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</si>
  <si>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</si>
  <si>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</si>
  <si>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</si>
  <si>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</si>
  <si>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</si>
  <si>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</si>
  <si>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</si>
  <si>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</si>
  <si>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</si>
  <si>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</si>
  <si>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</si>
  <si>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</si>
  <si>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</si>
  <si>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</si>
  <si>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</si>
  <si>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</si>
  <si>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</si>
  <si>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</si>
  <si>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</si>
  <si>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</si>
  <si>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</si>
  <si>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</si>
  <si>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</si>
  <si>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</si>
  <si>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</si>
  <si>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</si>
  <si>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</si>
  <si>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</si>
  <si>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</si>
  <si>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</si>
  <si>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</si>
  <si>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</si>
  <si>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</si>
  <si>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</si>
  <si>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</si>
  <si>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</si>
  <si>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</si>
  <si>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</si>
  <si>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</si>
  <si>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</si>
  <si>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</si>
  <si>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</si>
  <si>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</si>
  <si>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</si>
  <si>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</si>
  <si>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</si>
  <si>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</si>
  <si>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</si>
  <si>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</si>
  <si>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</si>
  <si>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</si>
  <si>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</si>
  <si>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</si>
  <si>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</si>
  <si>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</si>
  <si>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</si>
  <si>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</si>
  <si>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</si>
  <si>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</si>
  <si>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</si>
  <si>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</si>
  <si>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</si>
  <si>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</si>
  <si>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</si>
  <si>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</si>
  <si>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</si>
  <si>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</si>
  <si>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</si>
  <si>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</si>
  <si>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</si>
  <si>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</si>
  <si>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</si>
  <si>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</si>
  <si>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</si>
  <si>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</si>
  <si>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</si>
  <si>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</si>
  <si>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</si>
  <si>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</si>
  <si>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</si>
  <si>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</si>
  <si>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</si>
  <si>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</si>
  <si>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</si>
  <si>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</si>
  <si>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</si>
  <si>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</si>
  <si>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</si>
  <si>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</si>
  <si>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</si>
  <si>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</si>
  <si>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</si>
  <si>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</si>
  <si>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</si>
  <si>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</si>
  <si>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</si>
  <si>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</si>
  <si>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</si>
  <si>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</si>
  <si>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</si>
  <si>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</si>
  <si>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</si>
  <si>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</si>
  <si>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</si>
  <si>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</si>
  <si>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</si>
  <si>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</si>
  <si>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</si>
  <si>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</si>
  <si>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</si>
  <si>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</si>
  <si>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</si>
  <si>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</si>
  <si>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</si>
  <si>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</si>
  <si>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</si>
  <si>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</si>
  <si>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</si>
  <si>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</si>
  <si>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</si>
  <si>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</si>
  <si>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</si>
  <si>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</si>
  <si>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</si>
  <si>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</si>
  <si>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</si>
  <si>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</si>
  <si>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</si>
  <si>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</si>
  <si>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</si>
  <si>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</si>
  <si>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</si>
  <si>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</si>
  <si>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</si>
  <si>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</si>
  <si>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</si>
  <si>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</si>
  <si>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</si>
  <si>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</si>
  <si>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</si>
  <si>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</si>
  <si>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</si>
  <si>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</si>
  <si>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</si>
  <si>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</si>
  <si>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</si>
  <si>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</si>
  <si>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</si>
  <si>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</si>
  <si>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</si>
  <si>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</si>
  <si>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</si>
  <si>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</si>
  <si>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</si>
  <si>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</si>
  <si>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</si>
  <si>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</si>
  <si>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</si>
  <si>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</si>
  <si>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</si>
  <si>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</si>
  <si>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</si>
  <si>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</si>
  <si>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</si>
  <si>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</si>
  <si>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</si>
  <si>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</si>
  <si>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</si>
  <si>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</si>
  <si>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</si>
  <si>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</si>
  <si>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</si>
  <si>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</si>
  <si>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</si>
  <si>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</si>
  <si>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</si>
  <si>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</si>
  <si>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</si>
  <si>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</si>
  <si>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</si>
  <si>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</si>
  <si>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</si>
  <si>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</si>
  <si>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</si>
  <si>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</si>
  <si>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</si>
  <si>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</si>
  <si>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</si>
  <si>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</si>
  <si>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</si>
  <si>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</si>
  <si>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</si>
  <si>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</si>
  <si>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</si>
  <si>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</si>
  <si>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</si>
  <si>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</si>
  <si>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</si>
  <si>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</si>
  <si>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</si>
  <si>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</si>
  <si>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</si>
  <si>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</si>
  <si>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</si>
  <si>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</si>
  <si>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</si>
  <si>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</si>
  <si>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</si>
  <si>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</si>
  <si>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</si>
  <si>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</si>
  <si>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</si>
  <si>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</si>
  <si>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</si>
  <si>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</si>
  <si>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</si>
  <si>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</si>
  <si>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</si>
  <si>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</si>
  <si>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</si>
  <si>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</si>
  <si>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</si>
  <si>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</si>
  <si>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</si>
  <si>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</si>
  <si>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</si>
  <si>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</si>
  <si>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</si>
  <si>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</si>
  <si>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</si>
  <si>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</si>
  <si>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</si>
  <si>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</si>
  <si>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</si>
  <si>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</si>
  <si>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</si>
  <si>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</si>
  <si>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</si>
  <si>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</si>
  <si>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</si>
  <si>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</si>
  <si>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</si>
  <si>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</si>
  <si>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</si>
  <si>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</si>
  <si>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</si>
  <si>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</si>
  <si>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</si>
  <si>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</si>
  <si>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</si>
  <si>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</si>
  <si>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</si>
  <si>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</si>
  <si>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</si>
  <si>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</si>
  <si>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</si>
  <si>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</si>
  <si>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</si>
  <si>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</si>
  <si>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</si>
  <si>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</si>
  <si>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</si>
  <si>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</si>
  <si>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</si>
  <si>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</si>
  <si>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</si>
  <si>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</si>
  <si>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</si>
  <si>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</si>
  <si>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</si>
  <si>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</si>
  <si>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</si>
  <si>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</si>
  <si>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</si>
  <si>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</si>
  <si>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</si>
  <si>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</si>
  <si>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</si>
  <si>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</si>
  <si>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</si>
  <si>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</si>
  <si>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</si>
  <si>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</si>
  <si>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</si>
  <si>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</si>
  <si>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</si>
  <si>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</si>
  <si>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</si>
  <si>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</si>
  <si>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</si>
  <si>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</si>
  <si>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</si>
  <si>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</si>
  <si>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</si>
  <si>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</si>
  <si>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</si>
  <si>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</si>
  <si>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</si>
  <si>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</si>
  <si>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</si>
  <si>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</si>
  <si>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</si>
  <si>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</si>
  <si>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</si>
  <si>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</si>
  <si>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</si>
  <si>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</si>
  <si>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</si>
  <si>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</si>
  <si>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</si>
  <si>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</si>
  <si>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</si>
  <si>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</si>
  <si>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</si>
  <si>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</si>
  <si>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</si>
  <si>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</si>
  <si>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</si>
  <si>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</si>
  <si>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</si>
  <si>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</si>
  <si>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</si>
  <si>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</si>
  <si>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</si>
  <si>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</si>
  <si>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</si>
  <si>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</si>
  <si>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</si>
  <si>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</si>
  <si>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</si>
  <si>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</si>
  <si>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</si>
  <si>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</si>
  <si>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</si>
  <si>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</si>
  <si>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</si>
  <si>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</si>
  <si>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</si>
  <si>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</si>
  <si>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</si>
  <si>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</si>
  <si>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</si>
  <si>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</si>
  <si>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</si>
  <si>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</si>
  <si>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</si>
  <si>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</si>
  <si>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</si>
  <si>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</si>
  <si>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</si>
  <si>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</si>
  <si>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</si>
  <si>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</si>
  <si>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</si>
  <si>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</si>
  <si>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</si>
  <si>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</si>
  <si>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</si>
  <si>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</si>
  <si>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</si>
  <si>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</si>
  <si>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</si>
  <si>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</si>
  <si>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</si>
  <si>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</si>
  <si>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</si>
  <si>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</si>
  <si>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</si>
  <si>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</si>
  <si>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</si>
  <si>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</si>
  <si>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</si>
  <si>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</si>
  <si>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</si>
  <si>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</si>
  <si>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</si>
  <si>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</si>
  <si>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</si>
  <si>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</si>
  <si>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</si>
  <si>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</si>
  <si>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</si>
  <si>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</si>
  <si>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</si>
  <si>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</si>
  <si>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</si>
  <si>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</si>
  <si>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</si>
  <si>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</si>
  <si>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</si>
  <si>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</si>
  <si>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</si>
  <si>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</si>
  <si>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</si>
  <si>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</si>
  <si>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</si>
  <si>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</si>
  <si>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</si>
  <si>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</si>
  <si>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</si>
  <si>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</si>
  <si>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</si>
  <si>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</si>
  <si>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</si>
  <si>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</si>
  <si>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</si>
  <si>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</si>
  <si>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</si>
  <si>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</si>
  <si>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</si>
  <si>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</si>
  <si>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</si>
  <si>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</si>
  <si>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</si>
  <si>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</si>
  <si>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</si>
  <si>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</si>
  <si>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</si>
  <si>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</si>
  <si>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</si>
  <si>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</si>
  <si>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</si>
  <si>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</si>
  <si>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</si>
  <si>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</si>
  <si>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</si>
  <si>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</si>
  <si>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</si>
  <si>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</si>
  <si>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</si>
  <si>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</si>
  <si>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</si>
  <si>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</si>
  <si>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</si>
  <si>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</si>
  <si>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</si>
  <si>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</si>
  <si>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</si>
  <si>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</si>
  <si>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</si>
  <si>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</si>
  <si>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</si>
  <si>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</si>
  <si>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</si>
  <si>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</si>
  <si>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</si>
  <si>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</si>
  <si>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</si>
  <si>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</si>
  <si>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</si>
  <si>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</si>
  <si>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</si>
  <si>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</si>
  <si>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</si>
  <si>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</si>
  <si>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</si>
  <si>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</si>
  <si>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</si>
  <si>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</si>
  <si>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</si>
  <si>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</si>
  <si>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</si>
  <si>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</si>
  <si>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</si>
  <si>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</si>
  <si>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</si>
  <si>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</si>
  <si>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</si>
  <si>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</si>
  <si>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</si>
  <si>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</si>
  <si>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</si>
  <si>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</si>
  <si>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</si>
  <si>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</si>
  <si>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</si>
  <si>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</si>
  <si>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</si>
  <si>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</si>
  <si>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</si>
  <si>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</si>
  <si>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</si>
  <si>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</si>
  <si>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</si>
  <si>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</si>
  <si>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</si>
  <si>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</si>
  <si>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</si>
  <si>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</si>
  <si>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</si>
  <si>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</si>
  <si>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</si>
  <si>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</si>
  <si>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</si>
  <si>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</si>
  <si>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</si>
  <si>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</si>
  <si>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</si>
  <si>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</si>
  <si>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</si>
  <si>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</si>
  <si>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</si>
  <si>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</si>
  <si>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</si>
  <si>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</si>
  <si>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</si>
  <si>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</si>
  <si>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</si>
  <si>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</si>
  <si>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</si>
  <si>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</si>
  <si>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</si>
  <si>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</si>
  <si>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</si>
  <si>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</si>
  <si>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</si>
  <si>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</si>
  <si>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</si>
  <si>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</si>
  <si>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</si>
  <si>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</si>
  <si>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</si>
  <si>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</si>
  <si>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</si>
  <si>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</si>
  <si>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</si>
  <si>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</si>
  <si>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</si>
  <si>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</si>
  <si>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</si>
  <si>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</si>
  <si>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</si>
  <si>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</si>
  <si>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</si>
  <si>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</si>
  <si>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</si>
  <si>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</si>
  <si>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</si>
  <si>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</si>
  <si>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</si>
  <si>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</si>
  <si>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</si>
  <si>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</si>
  <si>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</si>
  <si>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</si>
  <si>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</si>
  <si>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</si>
  <si>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</si>
  <si>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</si>
  <si>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</si>
  <si>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</si>
  <si>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</si>
  <si>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</si>
  <si>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</si>
  <si>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</si>
  <si>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</si>
  <si>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</si>
  <si>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</si>
  <si>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</si>
  <si>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</si>
  <si>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</si>
  <si>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</si>
  <si>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</si>
  <si>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</si>
  <si>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</si>
  <si>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</si>
  <si>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</si>
  <si>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</si>
  <si>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</si>
  <si>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</si>
  <si>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</si>
  <si>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</si>
  <si>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</si>
  <si>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</si>
  <si>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</si>
  <si>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</si>
  <si>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</si>
  <si>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</si>
  <si>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</si>
  <si>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</si>
  <si>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</si>
  <si>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</si>
  <si>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</si>
  <si>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</si>
  <si>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</si>
  <si>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</si>
  <si>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</si>
  <si>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</si>
  <si>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</si>
  <si>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</si>
  <si>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</si>
  <si>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</si>
  <si>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</si>
  <si>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</si>
  <si>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</si>
  <si>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</si>
  <si>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</si>
  <si>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</si>
  <si>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</si>
  <si>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</si>
  <si>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</si>
  <si>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</si>
  <si>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</si>
  <si>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</si>
  <si>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</si>
  <si>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</si>
  <si>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</si>
  <si>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</si>
  <si>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</si>
  <si>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</si>
  <si>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</si>
  <si>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</si>
  <si>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</si>
  <si>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</si>
  <si>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</si>
  <si>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</si>
  <si>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</si>
  <si>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</si>
  <si>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</si>
  <si>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</si>
  <si>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</si>
  <si>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</si>
  <si>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</si>
  <si>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</si>
  <si>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</si>
  <si>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</si>
  <si>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</si>
  <si>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</si>
  <si>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</si>
  <si>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</si>
  <si>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</si>
  <si>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</si>
  <si>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</si>
  <si>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</si>
  <si>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</si>
  <si>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</si>
  <si>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</si>
  <si>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</si>
  <si>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</si>
  <si>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</si>
  <si>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</si>
  <si>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</si>
  <si>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</si>
  <si>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</si>
  <si>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</si>
  <si>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</si>
  <si>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</si>
  <si>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</si>
  <si>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</si>
  <si>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</si>
  <si>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</si>
  <si>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</si>
  <si>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</si>
  <si>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</si>
  <si>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</si>
  <si>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</si>
  <si>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</si>
  <si>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</si>
  <si>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</si>
  <si>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</si>
  <si>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</si>
  <si>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</si>
  <si>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</si>
  <si>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</si>
  <si>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</si>
  <si>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</si>
  <si>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</si>
  <si>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</si>
  <si>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</si>
  <si>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</si>
  <si>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</si>
  <si>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</si>
  <si>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</si>
  <si>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</si>
  <si>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</si>
  <si>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</si>
  <si>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</si>
  <si>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</si>
  <si>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</si>
  <si>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</si>
  <si>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</si>
  <si>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</si>
  <si>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</si>
  <si>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</si>
  <si>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</si>
  <si>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</si>
  <si>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</si>
  <si>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</si>
  <si>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</si>
  <si>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</si>
  <si>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</si>
  <si>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</si>
  <si>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</si>
  <si>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</si>
  <si>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</si>
  <si>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</si>
  <si>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</si>
  <si>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</si>
  <si>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</si>
  <si>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</si>
  <si>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</si>
  <si>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</si>
  <si>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</si>
  <si>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</si>
  <si>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</si>
  <si>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</si>
  <si>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</si>
  <si>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</si>
  <si>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</si>
  <si>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</si>
  <si>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</si>
  <si>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</si>
  <si>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</si>
  <si>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</si>
  <si>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</si>
  <si>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</si>
  <si>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</si>
  <si>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</si>
  <si>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</si>
  <si>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</si>
  <si>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</si>
  <si>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</si>
  <si>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</si>
  <si>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</si>
  <si>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</si>
  <si>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</si>
  <si>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</si>
  <si>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</si>
  <si>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</si>
  <si>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</si>
  <si>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</si>
  <si>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</si>
  <si>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</si>
  <si>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</si>
  <si>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</si>
  <si>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</si>
  <si>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</si>
  <si>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</si>
  <si>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</si>
  <si>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</si>
  <si>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</si>
  <si>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</si>
  <si>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</si>
  <si>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</si>
  <si>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</si>
  <si>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</si>
  <si>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</si>
  <si>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</si>
  <si>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</si>
  <si>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</si>
  <si>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</si>
  <si>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</si>
  <si>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</si>
  <si>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</si>
  <si>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</si>
  <si>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</si>
  <si>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</si>
  <si>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</si>
  <si>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</si>
  <si>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</si>
  <si>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</si>
  <si>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</si>
  <si>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</si>
  <si>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</si>
  <si>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</si>
  <si>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</si>
  <si>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</si>
  <si>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</si>
  <si>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</si>
  <si>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</si>
  <si>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</si>
  <si>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</si>
  <si>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</si>
  <si>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</si>
  <si>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</si>
  <si>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</si>
  <si>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</si>
  <si>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</si>
  <si>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</si>
  <si>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</si>
  <si>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</si>
  <si>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</si>
  <si>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</si>
  <si>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</si>
  <si>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</si>
  <si>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</si>
  <si>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</si>
  <si>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</si>
  <si>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</si>
  <si>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</si>
  <si>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</si>
  <si>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</si>
  <si>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</si>
  <si>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</si>
  <si>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</si>
  <si>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</si>
  <si>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</si>
  <si>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</si>
  <si>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</si>
  <si>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</si>
  <si>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</si>
  <si>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</si>
  <si>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</si>
  <si>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</si>
  <si>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</si>
  <si>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</si>
  <si>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</si>
  <si>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</si>
  <si>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</si>
  <si>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</si>
  <si>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</si>
  <si>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</si>
  <si>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</si>
  <si>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</si>
  <si>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</si>
  <si>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</si>
  <si>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</si>
  <si>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</si>
  <si>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</si>
  <si>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</si>
  <si>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</si>
  <si>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</si>
  <si>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</si>
  <si>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</si>
  <si>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</si>
  <si>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</si>
  <si>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</si>
  <si>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</si>
  <si>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</si>
  <si>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</si>
  <si>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</si>
  <si>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</si>
  <si>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</si>
  <si>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</si>
  <si>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</si>
  <si>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</si>
  <si>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</si>
  <si>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</si>
  <si>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</si>
  <si>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</si>
  <si>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</si>
  <si>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</si>
  <si>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</si>
  <si>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</si>
  <si>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</si>
  <si>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</si>
  <si>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</si>
  <si>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</si>
  <si>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</si>
  <si>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</si>
  <si>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</si>
  <si>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</si>
  <si>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</si>
  <si>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</si>
  <si>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</si>
  <si>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</si>
  <si>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</si>
  <si>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</si>
  <si>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</si>
  <si>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</si>
  <si>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</si>
  <si>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</si>
  <si>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</si>
  <si>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</si>
  <si>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</si>
  <si>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</si>
  <si>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</si>
  <si>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</si>
  <si>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</si>
  <si>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</si>
  <si>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</si>
  <si>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</si>
  <si>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</si>
  <si>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</si>
  <si>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</si>
  <si>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</si>
  <si>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</si>
  <si>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</si>
  <si>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</si>
  <si>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</si>
  <si>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</si>
  <si>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</si>
  <si>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</si>
  <si>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</si>
  <si>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</si>
  <si>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</si>
  <si>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</si>
  <si>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</si>
  <si>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</si>
  <si>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</si>
  <si>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</si>
  <si>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</si>
  <si>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</si>
  <si>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</si>
  <si>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</si>
  <si>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</si>
  <si>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</si>
  <si>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</si>
  <si>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</si>
  <si>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</si>
  <si>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</si>
  <si>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</si>
  <si>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</si>
  <si>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</si>
  <si>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</si>
  <si>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</si>
  <si>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</si>
  <si>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</si>
  <si>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</si>
  <si>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</si>
  <si>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</si>
  <si>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</si>
  <si>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</si>
  <si>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</si>
  <si>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</si>
  <si>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</si>
  <si>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</si>
  <si>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</si>
  <si>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</si>
  <si>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</si>
  <si>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</si>
  <si>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</si>
  <si>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</si>
  <si>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</si>
  <si>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</si>
  <si>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</si>
  <si>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</si>
  <si>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</si>
  <si>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</si>
  <si>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</si>
  <si>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</si>
  <si>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</si>
  <si>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</si>
  <si>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</si>
  <si>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</si>
  <si>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</si>
  <si>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</si>
  <si>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</si>
  <si>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</si>
  <si>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</si>
  <si>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</si>
  <si>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</si>
  <si>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</si>
  <si>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</si>
  <si>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</si>
  <si>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</si>
  <si>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</si>
  <si>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</si>
  <si>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</si>
  <si>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</si>
  <si>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</si>
  <si>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</si>
  <si>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</si>
  <si>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</si>
  <si>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</si>
  <si>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</si>
  <si>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</si>
  <si>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</si>
  <si>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</si>
  <si>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</si>
  <si>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</si>
  <si>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</si>
  <si>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</si>
  <si>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</si>
  <si>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</si>
  <si>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</si>
  <si>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</si>
  <si>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</si>
  <si>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</si>
  <si>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</si>
  <si>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</si>
  <si>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</si>
  <si>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</si>
  <si>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</si>
  <si>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</si>
  <si>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</si>
  <si>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</si>
  <si>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</si>
  <si>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</si>
  <si>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</si>
  <si>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</si>
  <si>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</si>
  <si>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</si>
  <si>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</si>
  <si>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</si>
  <si>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</si>
  <si>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</si>
  <si>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</si>
  <si>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</si>
  <si>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</si>
  <si>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</si>
  <si>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</si>
  <si>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</si>
  <si>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</si>
  <si>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</si>
  <si>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</si>
  <si>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</si>
  <si>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</si>
  <si>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</si>
  <si>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</si>
  <si>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</si>
  <si>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</si>
  <si>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</si>
  <si>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</si>
  <si>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</si>
  <si>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</si>
  <si>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</si>
  <si>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</si>
  <si>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</si>
  <si>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</si>
  <si>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</si>
  <si>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</si>
  <si>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</si>
  <si>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</si>
  <si>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</si>
  <si>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</si>
  <si>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</si>
  <si>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</si>
  <si>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</si>
  <si>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</si>
  <si>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</si>
  <si>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</si>
  <si>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</si>
  <si>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</si>
  <si>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</si>
  <si>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</si>
  <si>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</si>
  <si>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</si>
  <si>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</si>
  <si>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</si>
  <si>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</si>
  <si>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</si>
  <si>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</si>
  <si>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</si>
  <si>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</si>
  <si>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</si>
  <si>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</si>
  <si>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</si>
  <si>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</si>
  <si>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</si>
  <si>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</si>
  <si>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</si>
  <si>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</si>
  <si>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</si>
  <si>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</si>
  <si>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</si>
  <si>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</si>
  <si>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</si>
  <si>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</si>
  <si>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</si>
  <si>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</si>
  <si>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</si>
  <si>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</si>
  <si>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</si>
  <si>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</si>
  <si>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</si>
  <si>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</si>
  <si>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</si>
  <si>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</si>
  <si>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</si>
  <si>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</si>
  <si>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</si>
  <si>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</si>
  <si>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</si>
  <si>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</si>
  <si>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</si>
  <si>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</si>
  <si>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</si>
  <si>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</si>
  <si>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</si>
  <si>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</si>
  <si>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</si>
  <si>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</si>
  <si>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</si>
  <si>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</si>
  <si>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</si>
  <si>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</si>
  <si>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</si>
  <si>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</si>
  <si>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</si>
  <si>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</si>
  <si>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</si>
  <si>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</si>
  <si>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</si>
  <si>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</si>
  <si>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</si>
  <si>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</si>
  <si>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</si>
  <si>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</si>
  <si>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</si>
  <si>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</si>
  <si>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</si>
  <si>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</si>
  <si>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</si>
  <si>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</si>
  <si>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</si>
  <si>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</si>
  <si>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</si>
  <si>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</si>
  <si>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</si>
  <si>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</si>
  <si>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</si>
  <si>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</si>
  <si>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</si>
  <si>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</si>
  <si>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</si>
  <si>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</si>
  <si>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</si>
  <si>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</si>
  <si>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</si>
  <si>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</si>
  <si>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</si>
  <si>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</si>
  <si>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</si>
  <si>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</si>
  <si>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</si>
  <si>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</si>
  <si>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</si>
  <si>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</si>
  <si>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</si>
  <si>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</si>
  <si>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</si>
  <si>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</si>
  <si>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</si>
  <si>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</si>
  <si>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</si>
  <si>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</si>
  <si>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</si>
  <si>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</si>
  <si>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</si>
  <si>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</si>
  <si>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</si>
  <si>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</si>
  <si>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</si>
  <si>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</si>
  <si>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</si>
  <si>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</si>
  <si>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</si>
  <si>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</si>
  <si>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</si>
  <si>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</si>
  <si>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</si>
  <si>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</si>
  <si>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</si>
  <si>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</si>
  <si>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</si>
  <si>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</si>
  <si>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</si>
  <si>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</si>
  <si>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</si>
  <si>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</si>
  <si>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</si>
  <si>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</si>
  <si>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</si>
  <si>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</si>
  <si>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</si>
  <si>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</si>
  <si>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</si>
  <si>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</si>
  <si>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</si>
  <si>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</si>
  <si>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</si>
  <si>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</si>
  <si>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</si>
  <si>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</si>
  <si>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</si>
  <si>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</si>
  <si>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</si>
  <si>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</si>
  <si>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</si>
  <si>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</si>
  <si>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</si>
  <si>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</si>
  <si>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</si>
  <si>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</si>
  <si>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</si>
  <si>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</si>
  <si>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</si>
  <si>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</si>
  <si>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</si>
  <si>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</si>
  <si>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</si>
  <si>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</si>
  <si>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</si>
  <si>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</si>
  <si>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</si>
  <si>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</si>
  <si>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</si>
  <si>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</si>
  <si>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</si>
  <si>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</si>
  <si>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</si>
  <si>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</si>
  <si>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</si>
  <si>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</si>
  <si>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</si>
  <si>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</si>
  <si>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</si>
  <si>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</si>
  <si>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</si>
  <si>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</si>
  <si>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</si>
  <si>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</si>
  <si>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</si>
  <si>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</si>
  <si>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</si>
  <si>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PRECI-DIP SA</t>
  </si>
  <si>
    <t>Rue Saint-Henri 11, CH-2800 Delémont</t>
  </si>
  <si>
    <t>Mrs Laura Bartek</t>
  </si>
  <si>
    <t>l.bartek@precidip.com</t>
  </si>
  <si>
    <t>+41 32 421 71 03</t>
  </si>
  <si>
    <t>Mme Nadine Gérard</t>
  </si>
  <si>
    <t>Purchase Manager</t>
  </si>
  <si>
    <t>n.gerard@precidip.com</t>
  </si>
  <si>
    <t>+41 32 421 04 00</t>
  </si>
  <si>
    <t>http://www.precidip.com/Htdocs/Files/v/5854.pdf</t>
  </si>
  <si>
    <t>Conflict-free sourcing requirement is included in our purchasing T&amp;C and part of our standard contract. Compliance is aditionnally assessed during annual supplier assessement and during supplier audits.</t>
  </si>
  <si>
    <t>A.Greinerstraat 14</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</si>
</sst>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0" fontId="90" fillId="0" borderId="0"/>
  </cellStyleXfs>
  <cellXfs count="466">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90" fillId="0" borderId="48" xfId="593" applyBorder="1" applyAlignment="1" applyProtection="1">
      <alignment horizontal="left" vertical="center" wrapText="1"/>
      <protection locked="0" hidden="1"/>
    </xf>
    <xf numFmtId="0" fontId="90" fillId="0" borderId="19" xfId="593" applyFont="1" applyBorder="1" applyAlignment="1" applyProtection="1">
      <alignment vertical="center" wrapText="1"/>
      <protection locked="0" hidden="1"/>
    </xf>
    <xf numFmtId="0" fontId="90" fillId="0" borderId="48" xfId="593" applyBorder="1" applyAlignment="1" applyProtection="1">
      <alignment horizontal="left" vertical="center" wrapText="1"/>
      <protection locked="0"/>
    </xf>
    <xf numFmtId="0" fontId="90" fillId="33" borderId="53" xfId="593" applyFont="1" applyFill="1" applyBorder="1" applyAlignment="1" applyProtection="1">
      <alignment horizontal="left" vertical="center" wrapText="1"/>
      <protection locked="0" hidden="1"/>
    </xf>
    <xf numFmtId="0" fontId="90" fillId="33" borderId="42" xfId="593" applyFont="1"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62" xfId="0" applyNumberFormat="1" applyFont="1" applyFill="1" applyBorder="1" applyAlignment="1" applyProtection="1">
      <alignment horizontal="left" vertical="center" wrapText="1"/>
      <protection locked="0"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hidden="1"/>
    </xf>
    <xf numFmtId="49" fontId="86" fillId="33" borderId="10" xfId="487" applyNumberFormat="1" applyFont="1" applyFill="1" applyBorder="1" applyAlignment="1" applyProtection="1">
      <alignment horizontal="left" vertical="center" wrapText="1"/>
      <protection locked="0" hidden="1"/>
    </xf>
    <xf numFmtId="49" fontId="86" fillId="33" borderId="37" xfId="487" applyNumberFormat="1" applyFont="1" applyFill="1" applyBorder="1" applyAlignment="1" applyProtection="1">
      <alignment horizontal="left" vertical="center" wrapText="1"/>
      <protection locked="0" hidden="1"/>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en hypertexte" xfId="487" builtinId="8"/>
    <cellStyle name="Linked Cell 2" xfId="496"/>
    <cellStyle name="Neutral 2" xfId="497"/>
    <cellStyle name="Normal" xfId="0" builtinId="0"/>
    <cellStyle name="Normal 10" xfId="498"/>
    <cellStyle name="Normal 100" xfId="499"/>
    <cellStyle name="Normal 11" xfId="593"/>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6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0000"/>
        </patternFill>
      </fill>
    </dxf>
    <dxf>
      <fill>
        <patternFill>
          <bgColor indexed="13"/>
        </patternFill>
      </fill>
    </dxf>
    <dxf>
      <fill>
        <patternFill>
          <bgColor rgb="FFFFFF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rgb="FFFFFF00"/>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theme="0" tint="-0.499984740745262"/>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l.bartek@precidip.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precidip.com/Htdocs/Files/v/5854.pdf" TargetMode="External"/><Relationship Id="rId4" Type="http://schemas.openxmlformats.org/officeDocument/2006/relationships/hyperlink" Target="mailto:n.gerard@precidi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64" activePane="bottomRight" state="frozen"/>
      <selection activeCell="A4" sqref="A4"/>
      <selection pane="topRight" activeCell="A4" sqref="A4"/>
      <selection pane="bottomLeft" activeCell="A4" sqref="A4"/>
      <selection pane="bottomRight" activeCell="F52" sqref="F52"/>
    </sheetView>
  </sheetViews>
  <sheetFormatPr baseColWidth="10"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9"/>
      <c r="B2" s="38" t="s">
        <v>847</v>
      </c>
      <c r="C2" s="36"/>
      <c r="D2" s="206"/>
      <c r="E2" s="3"/>
      <c r="F2" s="36"/>
      <c r="G2" s="34"/>
    </row>
    <row r="3" spans="1:7">
      <c r="A3" s="369"/>
      <c r="B3" s="5" t="s">
        <v>839</v>
      </c>
      <c r="C3" s="6"/>
      <c r="D3" s="207"/>
      <c r="E3" s="3"/>
      <c r="F3" s="6"/>
      <c r="G3" s="34"/>
    </row>
    <row r="4" spans="1:7" ht="15.75">
      <c r="A4" s="369"/>
      <c r="B4" s="41" t="s">
        <v>849</v>
      </c>
      <c r="C4" s="7"/>
      <c r="D4" s="208"/>
      <c r="E4" s="3"/>
      <c r="F4" s="7"/>
      <c r="G4" s="34"/>
    </row>
    <row r="5" spans="1:7">
      <c r="A5" s="369"/>
      <c r="B5" s="40" t="s">
        <v>1040</v>
      </c>
      <c r="C5" s="4"/>
      <c r="D5" s="209"/>
      <c r="E5" s="3"/>
      <c r="F5" s="4"/>
      <c r="G5" s="34"/>
    </row>
    <row r="6" spans="1:7">
      <c r="A6" s="369"/>
      <c r="B6" s="8"/>
      <c r="C6" s="8"/>
      <c r="D6" s="210"/>
      <c r="E6" s="8"/>
      <c r="F6" s="8"/>
      <c r="G6" s="34"/>
    </row>
    <row r="7" spans="1:7">
      <c r="A7" s="369"/>
      <c r="B7" s="8"/>
      <c r="C7" s="8"/>
      <c r="D7" s="210"/>
      <c r="E7" s="8"/>
      <c r="F7" s="8"/>
      <c r="G7" s="34"/>
    </row>
    <row r="8" spans="1:7">
      <c r="A8" s="369"/>
      <c r="B8" s="8"/>
      <c r="C8" s="8"/>
      <c r="D8" s="210"/>
      <c r="E8" s="8"/>
      <c r="F8" s="8"/>
      <c r="G8" s="34"/>
    </row>
    <row r="9" spans="1:7">
      <c r="A9" s="369"/>
      <c r="B9" s="372" t="s">
        <v>850</v>
      </c>
      <c r="C9" s="372"/>
      <c r="D9" s="372"/>
      <c r="E9" s="372"/>
      <c r="F9" s="372"/>
      <c r="G9" s="34"/>
    </row>
    <row r="10" spans="1:7" ht="27" customHeight="1">
      <c r="A10" s="369"/>
      <c r="B10" s="373" t="s">
        <v>438</v>
      </c>
      <c r="C10" s="373"/>
      <c r="D10" s="373"/>
      <c r="E10" s="373"/>
      <c r="F10" s="373"/>
      <c r="G10" s="34"/>
    </row>
    <row r="11" spans="1:7" ht="27" customHeight="1">
      <c r="A11" s="369"/>
      <c r="B11" s="374"/>
      <c r="C11" s="374"/>
      <c r="D11" s="374"/>
      <c r="E11" s="374"/>
      <c r="F11" s="374"/>
      <c r="G11" s="34"/>
    </row>
    <row r="12" spans="1:7">
      <c r="A12" s="369"/>
      <c r="B12" s="42" t="s">
        <v>848</v>
      </c>
      <c r="C12" s="43" t="s">
        <v>851</v>
      </c>
      <c r="D12" s="211" t="s">
        <v>852</v>
      </c>
      <c r="E12" s="43" t="s">
        <v>612</v>
      </c>
      <c r="F12" s="43" t="s">
        <v>613</v>
      </c>
      <c r="G12" s="34"/>
    </row>
    <row r="13" spans="1:7" ht="33.75">
      <c r="A13" s="369"/>
      <c r="B13" s="2">
        <v>1</v>
      </c>
      <c r="C13" s="37" t="s">
        <v>1088</v>
      </c>
      <c r="D13" s="39" t="s">
        <v>876</v>
      </c>
      <c r="E13" s="194" t="s">
        <v>853</v>
      </c>
      <c r="F13" s="194"/>
      <c r="G13" s="34"/>
    </row>
    <row r="14" spans="1:7" ht="33.75">
      <c r="A14" s="369"/>
      <c r="B14" s="2">
        <v>2</v>
      </c>
      <c r="C14" s="37" t="s">
        <v>1088</v>
      </c>
      <c r="D14" s="39" t="s">
        <v>1025</v>
      </c>
      <c r="E14" s="194" t="s">
        <v>530</v>
      </c>
      <c r="F14" s="194" t="s">
        <v>531</v>
      </c>
      <c r="G14" s="34"/>
    </row>
    <row r="15" spans="1:7" ht="89.1" customHeight="1">
      <c r="A15" s="369"/>
      <c r="B15" s="375">
        <v>2.0099999999999998</v>
      </c>
      <c r="C15" s="366" t="s">
        <v>1088</v>
      </c>
      <c r="D15" s="378" t="s">
        <v>2265</v>
      </c>
      <c r="E15" s="195" t="s">
        <v>614</v>
      </c>
      <c r="F15" s="195" t="s">
        <v>617</v>
      </c>
      <c r="G15" s="34"/>
    </row>
    <row r="16" spans="1:7" ht="99" customHeight="1">
      <c r="A16" s="369"/>
      <c r="B16" s="376"/>
      <c r="C16" s="367"/>
      <c r="D16" s="379"/>
      <c r="E16" s="196"/>
      <c r="F16" s="196" t="s">
        <v>615</v>
      </c>
      <c r="G16" s="34"/>
    </row>
    <row r="17" spans="1:7" ht="63" customHeight="1">
      <c r="A17" s="369"/>
      <c r="B17" s="377"/>
      <c r="C17" s="368"/>
      <c r="D17" s="380"/>
      <c r="E17" s="37"/>
      <c r="F17" s="37" t="s">
        <v>616</v>
      </c>
      <c r="G17" s="34"/>
    </row>
    <row r="18" spans="1:7" ht="117" customHeight="1">
      <c r="A18" s="369"/>
      <c r="B18" s="375">
        <v>2.02</v>
      </c>
      <c r="C18" s="366" t="s">
        <v>1088</v>
      </c>
      <c r="D18" s="378" t="s">
        <v>2266</v>
      </c>
      <c r="E18" s="195" t="s">
        <v>439</v>
      </c>
      <c r="F18" s="195" t="s">
        <v>525</v>
      </c>
      <c r="G18" s="34"/>
    </row>
    <row r="19" spans="1:7" ht="71.099999999999994" customHeight="1">
      <c r="A19" s="369"/>
      <c r="B19" s="376"/>
      <c r="C19" s="367"/>
      <c r="D19" s="379"/>
      <c r="E19" s="196" t="s">
        <v>529</v>
      </c>
      <c r="F19" s="196" t="s">
        <v>440</v>
      </c>
      <c r="G19" s="34"/>
    </row>
    <row r="20" spans="1:7" ht="90.75" customHeight="1">
      <c r="A20" s="369"/>
      <c r="B20" s="376"/>
      <c r="C20" s="367"/>
      <c r="D20" s="379"/>
      <c r="E20" s="196"/>
      <c r="F20" s="196" t="s">
        <v>619</v>
      </c>
      <c r="G20" s="34"/>
    </row>
    <row r="21" spans="1:7" ht="74.25" customHeight="1">
      <c r="A21" s="369"/>
      <c r="B21" s="377"/>
      <c r="C21" s="368"/>
      <c r="D21" s="380"/>
      <c r="E21" s="37"/>
      <c r="F21" s="37" t="s">
        <v>618</v>
      </c>
      <c r="G21" s="34"/>
    </row>
    <row r="22" spans="1:7" ht="90" customHeight="1">
      <c r="A22" s="369"/>
      <c r="B22" s="360">
        <v>2.0299999999999998</v>
      </c>
      <c r="C22" s="360" t="s">
        <v>822</v>
      </c>
      <c r="D22" s="363" t="s">
        <v>2267</v>
      </c>
      <c r="E22" s="366" t="s">
        <v>437</v>
      </c>
      <c r="F22" s="195" t="s">
        <v>460</v>
      </c>
      <c r="G22" s="34"/>
    </row>
    <row r="23" spans="1:7" ht="109.5" customHeight="1">
      <c r="A23" s="369"/>
      <c r="B23" s="361"/>
      <c r="C23" s="361"/>
      <c r="D23" s="364"/>
      <c r="E23" s="367"/>
      <c r="F23" s="196" t="s">
        <v>823</v>
      </c>
      <c r="G23" s="34"/>
    </row>
    <row r="24" spans="1:7" ht="74.25" customHeight="1">
      <c r="A24" s="369"/>
      <c r="B24" s="362"/>
      <c r="C24" s="362"/>
      <c r="D24" s="365"/>
      <c r="E24" s="368"/>
      <c r="F24" s="37" t="s">
        <v>436</v>
      </c>
      <c r="G24" s="34"/>
    </row>
    <row r="25" spans="1:7" ht="72" customHeight="1">
      <c r="A25" s="369"/>
      <c r="B25" s="2" t="s">
        <v>458</v>
      </c>
      <c r="C25" s="37" t="s">
        <v>459</v>
      </c>
      <c r="D25" s="39" t="s">
        <v>2268</v>
      </c>
      <c r="E25" s="37" t="s">
        <v>2263</v>
      </c>
      <c r="F25" s="37" t="s">
        <v>461</v>
      </c>
      <c r="G25" s="34"/>
    </row>
    <row r="26" spans="1:7" ht="98.1" customHeight="1">
      <c r="A26" s="369"/>
      <c r="B26" s="381">
        <v>3</v>
      </c>
      <c r="C26" s="375" t="s">
        <v>70</v>
      </c>
      <c r="D26" s="378" t="s">
        <v>2269</v>
      </c>
      <c r="E26" s="366" t="s">
        <v>0</v>
      </c>
      <c r="F26" s="195" t="s">
        <v>64</v>
      </c>
      <c r="G26" s="34"/>
    </row>
    <row r="27" spans="1:7" ht="90" customHeight="1">
      <c r="A27" s="369"/>
      <c r="B27" s="382"/>
      <c r="C27" s="376"/>
      <c r="D27" s="379"/>
      <c r="E27" s="367"/>
      <c r="F27" s="196" t="s">
        <v>59</v>
      </c>
      <c r="G27" s="34"/>
    </row>
    <row r="28" spans="1:7" ht="19.350000000000001" customHeight="1">
      <c r="A28" s="369"/>
      <c r="B28" s="382"/>
      <c r="C28" s="376"/>
      <c r="D28" s="379"/>
      <c r="E28" s="367"/>
      <c r="F28" s="196" t="s">
        <v>60</v>
      </c>
      <c r="G28" s="34"/>
    </row>
    <row r="29" spans="1:7" ht="74.45" customHeight="1">
      <c r="A29" s="369"/>
      <c r="B29" s="382"/>
      <c r="C29" s="376"/>
      <c r="D29" s="379"/>
      <c r="E29" s="367"/>
      <c r="F29" s="196" t="s">
        <v>61</v>
      </c>
      <c r="G29" s="34"/>
    </row>
    <row r="30" spans="1:7" ht="62.45" customHeight="1">
      <c r="A30" s="369"/>
      <c r="B30" s="382"/>
      <c r="C30" s="376"/>
      <c r="D30" s="379"/>
      <c r="E30" s="367"/>
      <c r="F30" s="196" t="s">
        <v>62</v>
      </c>
      <c r="G30" s="34"/>
    </row>
    <row r="31" spans="1:7" ht="81" customHeight="1">
      <c r="A31" s="369"/>
      <c r="B31" s="382"/>
      <c r="C31" s="376"/>
      <c r="D31" s="379"/>
      <c r="E31" s="367"/>
      <c r="F31" s="196" t="s">
        <v>63</v>
      </c>
      <c r="G31" s="34"/>
    </row>
    <row r="32" spans="1:7" ht="48.75" customHeight="1">
      <c r="A32" s="369"/>
      <c r="B32" s="382"/>
      <c r="C32" s="376"/>
      <c r="D32" s="379"/>
      <c r="E32" s="367"/>
      <c r="F32" s="196" t="s">
        <v>66</v>
      </c>
      <c r="G32" s="34"/>
    </row>
    <row r="33" spans="1:7" ht="98.45" customHeight="1">
      <c r="A33" s="369"/>
      <c r="B33" s="382"/>
      <c r="C33" s="376"/>
      <c r="D33" s="379"/>
      <c r="E33" s="367"/>
      <c r="F33" s="196" t="s">
        <v>65</v>
      </c>
      <c r="G33" s="34"/>
    </row>
    <row r="34" spans="1:7" ht="89.1" customHeight="1">
      <c r="A34" s="369"/>
      <c r="B34" s="382"/>
      <c r="C34" s="376"/>
      <c r="D34" s="379"/>
      <c r="E34" s="367"/>
      <c r="F34" s="196" t="s">
        <v>67</v>
      </c>
      <c r="G34" s="34"/>
    </row>
    <row r="35" spans="1:7" ht="29.1" customHeight="1">
      <c r="A35" s="369"/>
      <c r="B35" s="382"/>
      <c r="C35" s="376"/>
      <c r="D35" s="379"/>
      <c r="E35" s="367"/>
      <c r="F35" s="196" t="s">
        <v>68</v>
      </c>
      <c r="G35" s="34"/>
    </row>
    <row r="36" spans="1:7" ht="126.75">
      <c r="A36" s="369"/>
      <c r="B36" s="383"/>
      <c r="C36" s="377"/>
      <c r="D36" s="380"/>
      <c r="E36" s="368"/>
      <c r="F36" s="197" t="s">
        <v>69</v>
      </c>
      <c r="G36" s="34"/>
    </row>
    <row r="37" spans="1:7" ht="112.5">
      <c r="A37" s="369"/>
      <c r="B37" s="170">
        <v>3.01</v>
      </c>
      <c r="C37" s="171" t="s">
        <v>70</v>
      </c>
      <c r="D37" s="39" t="s">
        <v>2270</v>
      </c>
      <c r="E37" s="198" t="s">
        <v>1328</v>
      </c>
      <c r="F37" s="199" t="s">
        <v>1434</v>
      </c>
      <c r="G37" s="34"/>
    </row>
    <row r="38" spans="1:7" ht="101.25">
      <c r="A38" s="369"/>
      <c r="B38" s="170">
        <v>3.02</v>
      </c>
      <c r="C38" s="171" t="s">
        <v>1361</v>
      </c>
      <c r="D38" s="39" t="s">
        <v>2271</v>
      </c>
      <c r="E38" s="198" t="s">
        <v>1376</v>
      </c>
      <c r="F38" s="199" t="s">
        <v>1435</v>
      </c>
      <c r="G38" s="34"/>
    </row>
    <row r="39" spans="1:7" ht="101.25">
      <c r="A39" s="369"/>
      <c r="B39" s="180">
        <v>4</v>
      </c>
      <c r="C39" s="179" t="s">
        <v>1531</v>
      </c>
      <c r="D39" s="39" t="s">
        <v>2272</v>
      </c>
      <c r="E39" s="37" t="s">
        <v>2215</v>
      </c>
      <c r="F39" s="37" t="s">
        <v>1532</v>
      </c>
      <c r="G39" s="34"/>
    </row>
    <row r="40" spans="1:7" ht="56.25">
      <c r="A40" s="369"/>
      <c r="B40" s="170">
        <v>4.01</v>
      </c>
      <c r="C40" s="179" t="s">
        <v>1531</v>
      </c>
      <c r="D40" s="39" t="s">
        <v>2274</v>
      </c>
      <c r="E40" s="37" t="s">
        <v>2229</v>
      </c>
      <c r="F40" s="37" t="s">
        <v>2233</v>
      </c>
      <c r="G40" s="34"/>
    </row>
    <row r="41" spans="1:7" ht="56.25">
      <c r="A41" s="369"/>
      <c r="B41" s="170" t="s">
        <v>2261</v>
      </c>
      <c r="C41" s="179" t="s">
        <v>1531</v>
      </c>
      <c r="D41" s="39" t="s">
        <v>2273</v>
      </c>
      <c r="E41" s="37" t="s">
        <v>2264</v>
      </c>
      <c r="F41" s="37" t="s">
        <v>2262</v>
      </c>
      <c r="G41" s="34"/>
    </row>
    <row r="42" spans="1:7" ht="56.25">
      <c r="A42" s="369"/>
      <c r="B42" s="170" t="s">
        <v>2299</v>
      </c>
      <c r="C42" s="179" t="s">
        <v>1531</v>
      </c>
      <c r="D42" s="39" t="s">
        <v>2306</v>
      </c>
      <c r="E42" s="37" t="s">
        <v>2263</v>
      </c>
      <c r="F42" s="37" t="s">
        <v>2300</v>
      </c>
      <c r="G42" s="34"/>
    </row>
    <row r="43" spans="1:7" ht="123.75">
      <c r="A43" s="369"/>
      <c r="B43" s="191">
        <v>4.0999999999999996</v>
      </c>
      <c r="C43" s="179" t="s">
        <v>2305</v>
      </c>
      <c r="D43" s="192">
        <v>42867</v>
      </c>
      <c r="E43" s="200" t="s">
        <v>2308</v>
      </c>
      <c r="F43" s="37" t="s">
        <v>2307</v>
      </c>
      <c r="G43" s="34"/>
    </row>
    <row r="44" spans="1:7" ht="78.75">
      <c r="A44" s="369"/>
      <c r="B44" s="191">
        <v>4.2</v>
      </c>
      <c r="C44" s="179" t="s">
        <v>2305</v>
      </c>
      <c r="D44" s="192">
        <v>42704</v>
      </c>
      <c r="E44" s="200" t="s">
        <v>2510</v>
      </c>
      <c r="F44" s="37" t="s">
        <v>2485</v>
      </c>
      <c r="G44" s="34"/>
    </row>
    <row r="45" spans="1:7" ht="157.5">
      <c r="A45" s="369"/>
      <c r="B45" s="240">
        <v>5</v>
      </c>
      <c r="C45" s="179" t="s">
        <v>2305</v>
      </c>
      <c r="D45" s="192">
        <v>42867</v>
      </c>
      <c r="E45" s="200" t="s">
        <v>12917</v>
      </c>
      <c r="F45" s="37" t="s">
        <v>12639</v>
      </c>
      <c r="G45" s="34"/>
    </row>
    <row r="46" spans="1:7" ht="45">
      <c r="A46" s="369"/>
      <c r="B46" s="191">
        <v>5.01</v>
      </c>
      <c r="C46" s="179" t="s">
        <v>2305</v>
      </c>
      <c r="D46" s="192">
        <v>42907</v>
      </c>
      <c r="E46" s="200" t="s">
        <v>12935</v>
      </c>
      <c r="F46" s="37" t="s">
        <v>12639</v>
      </c>
      <c r="G46" s="34"/>
    </row>
    <row r="47" spans="1:7" ht="67.5">
      <c r="A47" s="369"/>
      <c r="B47" s="191">
        <v>5.0999999999999996</v>
      </c>
      <c r="C47" s="179" t="s">
        <v>2305</v>
      </c>
      <c r="D47" s="192">
        <v>43070</v>
      </c>
      <c r="E47" s="200" t="s">
        <v>13129</v>
      </c>
      <c r="F47" s="37" t="s">
        <v>13130</v>
      </c>
      <c r="G47" s="34"/>
    </row>
    <row r="48" spans="1:7" ht="56.25">
      <c r="A48" s="369"/>
      <c r="B48" s="191">
        <v>5.1100000000000003</v>
      </c>
      <c r="C48" s="179" t="s">
        <v>13371</v>
      </c>
      <c r="D48" s="192">
        <v>43217</v>
      </c>
      <c r="E48" s="200" t="s">
        <v>13499</v>
      </c>
      <c r="F48" s="37" t="s">
        <v>13405</v>
      </c>
      <c r="G48" s="34"/>
    </row>
    <row r="49" spans="1:7" ht="56.25">
      <c r="A49" s="369"/>
      <c r="B49" s="191">
        <v>5.12</v>
      </c>
      <c r="C49" s="179" t="s">
        <v>13371</v>
      </c>
      <c r="D49" s="192">
        <v>43581</v>
      </c>
      <c r="E49" s="200" t="s">
        <v>13499</v>
      </c>
      <c r="F49" s="37" t="s">
        <v>14064</v>
      </c>
      <c r="G49" s="34"/>
    </row>
    <row r="50" spans="1:7" ht="78.75">
      <c r="A50" s="369"/>
      <c r="B50" s="240">
        <v>6</v>
      </c>
      <c r="C50" s="179" t="s">
        <v>13371</v>
      </c>
      <c r="D50" s="192">
        <v>43964</v>
      </c>
      <c r="E50" s="200" t="s">
        <v>14291</v>
      </c>
      <c r="F50" s="37" t="s">
        <v>14074</v>
      </c>
      <c r="G50" s="34"/>
    </row>
    <row r="51" spans="1:7" ht="45">
      <c r="A51" s="369"/>
      <c r="B51" s="191">
        <v>6.01</v>
      </c>
      <c r="C51" s="179" t="s">
        <v>13371</v>
      </c>
      <c r="D51" s="192">
        <v>43970</v>
      </c>
      <c r="E51" s="200" t="s">
        <v>15309</v>
      </c>
      <c r="F51" s="200" t="s">
        <v>14074</v>
      </c>
      <c r="G51" s="34"/>
    </row>
    <row r="52" spans="1:7" ht="45">
      <c r="A52" s="369"/>
      <c r="B52" s="191">
        <v>6.1</v>
      </c>
      <c r="C52" s="179" t="s">
        <v>13371</v>
      </c>
      <c r="D52" s="192">
        <v>44314</v>
      </c>
      <c r="E52" s="200" t="s">
        <v>15314</v>
      </c>
      <c r="F52" s="200" t="s">
        <v>15319</v>
      </c>
      <c r="G52" s="34"/>
    </row>
    <row r="53" spans="1:7" ht="13.5" thickBot="1">
      <c r="A53" s="370"/>
      <c r="B53" s="371" t="str">
        <f ca="1">OFFSET(L!$C$1,MATCH("General"&amp;"Cpy",L!$A:$A,0)-1,SL,,)</f>
        <v>© 2021 Responsible Minerals Initiative. All rights reserved.</v>
      </c>
      <c r="C53" s="371"/>
      <c r="D53" s="371"/>
      <c r="E53" s="371"/>
      <c r="F53" s="371"/>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s>
  <phoneticPr fontId="9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baseColWidth="10"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98"/>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baseColWidth="10"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98"/>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10" zoomScalePageLayoutView="60" workbookViewId="0">
      <selection activeCell="A12" sqref="A12"/>
    </sheetView>
  </sheetViews>
  <sheetFormatPr baseColWidth="10"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4"/>
      <c r="B1" s="385"/>
      <c r="C1" s="385"/>
      <c r="D1" s="386"/>
    </row>
    <row r="2" spans="1:5" ht="71.25" customHeight="1">
      <c r="A2" s="87"/>
      <c r="B2" s="166" t="str">
        <f ca="1">OFFSET(L!$C$1,MATCH("Definitions"&amp;ADDRESS(ROW(),COLUMN(),4),L!$A:$A,0)-1,SL,,)</f>
        <v>ITEM</v>
      </c>
      <c r="C2" s="166" t="str">
        <f ca="1">OFFSET(L!$C$1,MATCH("Definitions"&amp;ADDRESS(ROW(),COLUMN(),4),L!$A:$A,0)-1,SL,,)</f>
        <v>DEFINITION</v>
      </c>
      <c r="D2" s="388"/>
      <c r="E2" s="127"/>
    </row>
    <row r="3" spans="1:5" ht="63.95" customHeight="1">
      <c r="A3" s="87"/>
      <c r="B3" s="74" t="str">
        <f ca="1">OFFSET(L!$C$1,MATCH("Definitions"&amp;ADDRESS(ROW(),COLUMN(),4),L!$A:$A,0)-1,SL,,)</f>
        <v>3TG</v>
      </c>
      <c r="C3" s="74" t="str">
        <f ca="1">OFFSET(L!$C$1,MATCH("Definitions"&amp;ADDRESS(ROW(),COLUMN(),4),L!$A:$A,0)-1,SL,,)</f>
        <v>Tantalum, tin, tungsten, gold</v>
      </c>
      <c r="D3" s="388"/>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8"/>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8"/>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8"/>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8"/>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8"/>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8"/>
      <c r="E9" s="128" t="s">
        <v>1313</v>
      </c>
    </row>
    <row r="10" spans="1:5" ht="45">
      <c r="A10" s="87"/>
      <c r="B10" s="74" t="str">
        <f ca="1">OFFSET(L!$C$1,MATCH("Definitions"&amp;ADDRESS(ROW(),COLUMN(),4),L!$A:$A,0)-1,SL,,)</f>
        <v>DRC</v>
      </c>
      <c r="C10" s="74" t="str">
        <f ca="1">OFFSET(L!$C$1,MATCH("Definitions"&amp;ADDRESS(ROW(),COLUMN(),4),L!$A:$A,0)-1,SL,,)</f>
        <v>Democratic Republic of Congo</v>
      </c>
      <c r="D10" s="388"/>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8"/>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8"/>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8"/>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8"/>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8"/>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8"/>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8"/>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8"/>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8"/>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8"/>
      <c r="E20" s="128"/>
    </row>
    <row r="21" spans="1:5" ht="15">
      <c r="A21" s="87"/>
      <c r="B21" s="74" t="str">
        <f ca="1">OFFSET(L!$C$1,MATCH("Definitions"&amp;ADDRESS(ROW(),COLUMN(),4),L!$A:$A,0)-1,SL,,)</f>
        <v>RBA</v>
      </c>
      <c r="C21" s="74" t="str">
        <f ca="1">OFFSET(L!$C$1,MATCH("Definitions"&amp;ADDRESS(ROW(),COLUMN(),4),L!$A:$A,0)-1,SL,,)</f>
        <v>Responsible Business Alliance (www.responsiblebusiness.org)</v>
      </c>
      <c r="D21" s="388"/>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8"/>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8"/>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8"/>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8"/>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8"/>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8"/>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8"/>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8"/>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8"/>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8"/>
      <c r="E31" s="128"/>
    </row>
    <row r="32" spans="1:5" ht="15">
      <c r="A32" s="87"/>
      <c r="B32" s="387" t="str">
        <f ca="1">OFFSET(L!$C$1,MATCH("General"&amp;"Cpy",L!$A:$A,0)-1,SL,,)</f>
        <v>© 2021 Responsible Minerals Initiative. All rights reserved.</v>
      </c>
      <c r="C32" s="387"/>
      <c r="D32" s="388"/>
      <c r="E32" s="128"/>
    </row>
    <row r="33" spans="1:4" ht="13.5" thickBot="1">
      <c r="A33" s="88"/>
      <c r="B33" s="183"/>
      <c r="C33" s="183"/>
      <c r="D33" s="389"/>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46" zoomScalePageLayoutView="70" workbookViewId="0">
      <selection activeCell="D52" sqref="D52:E52"/>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2"/>
      <c r="B1" s="413"/>
      <c r="C1" s="413"/>
      <c r="D1" s="413"/>
      <c r="E1" s="413"/>
      <c r="F1" s="413"/>
      <c r="G1" s="413"/>
      <c r="H1" s="413"/>
      <c r="I1" s="413"/>
      <c r="J1" s="413"/>
      <c r="K1" s="414"/>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5" t="str">
        <f ca="1">OFFSET(L!$C$1,MATCH("Declaration"&amp;ADDRESS(ROW(),COLUMN(),4),L!$A:$A,0)-1,SL,,)</f>
        <v>Conflict Minerals Reporting Template (CMRT)</v>
      </c>
      <c r="E2" s="416"/>
      <c r="F2" s="416"/>
      <c r="G2" s="416"/>
      <c r="H2" s="416"/>
      <c r="I2" s="416"/>
      <c r="J2" s="417"/>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8"/>
      <c r="G3" s="428"/>
      <c r="H3" s="428"/>
      <c r="I3" s="182"/>
      <c r="J3" s="167" t="s">
        <v>15318</v>
      </c>
      <c r="K3" s="47"/>
      <c r="L3" s="139"/>
      <c r="M3" s="130"/>
      <c r="N3" s="130"/>
      <c r="O3" s="131"/>
      <c r="P3" s="144">
        <f>MATCH($D$3,LN,0)</f>
        <v>1</v>
      </c>
    </row>
    <row r="4" spans="1:34" ht="15.75">
      <c r="A4" s="45"/>
      <c r="B4" s="421" t="str">
        <f ca="1">OFFSET(L!$C$1,MATCH("Declaration"&amp;ADDRESS(ROW(),COLUMN(),4),L!$A:$A,0)-1,SL,,)</f>
        <v>The purpose of this document is to collect sourcing information on tin, tantalum, tungsten and gold used in products</v>
      </c>
      <c r="C4" s="421"/>
      <c r="D4" s="421"/>
      <c r="E4" s="421"/>
      <c r="F4" s="421"/>
      <c r="G4" s="421"/>
      <c r="H4" s="421"/>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1" t="str">
        <f ca="1">OFFSET(L!$C$1,MATCH("Declaration"&amp;ADDRESS(ROW(),COLUMN(),4),L!$A:$A,0)-1,SL,,)</f>
        <v>Mandatory fields are noted with an asterisk (*).  Consult the instructions tab for guidance on how to answer each question.</v>
      </c>
      <c r="C6" s="421"/>
      <c r="D6" s="421"/>
      <c r="E6" s="421"/>
      <c r="F6" s="421"/>
      <c r="G6" s="421"/>
      <c r="H6" s="421"/>
      <c r="I6" s="421"/>
      <c r="J6" s="421"/>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8" t="s">
        <v>15606</v>
      </c>
      <c r="E8" s="419"/>
      <c r="F8" s="419"/>
      <c r="G8" s="419"/>
      <c r="H8" s="419"/>
      <c r="I8" s="419"/>
      <c r="J8" s="420"/>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0" t="s">
        <v>494</v>
      </c>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4" t="str">
        <f ca="1">OFFSET(L!$C$1,MATCH("Declaration"&amp;ADDRESS(ROW(),COLUMN(),4)&amp;LEFT($D$9,1),L!$A:$A,0)-1,SL,,)</f>
        <v>Description of Scope:</v>
      </c>
      <c r="C10" s="151"/>
      <c r="D10" s="422"/>
      <c r="E10" s="423"/>
      <c r="F10" s="423"/>
      <c r="G10" s="423"/>
      <c r="H10" s="423"/>
      <c r="I10" s="423"/>
      <c r="J10" s="424"/>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5"/>
      <c r="C11" s="151"/>
      <c r="D11" s="444" t="str">
        <f ca="1">IF(D9=Q9,OFFSET(L!$C$1,MATCH("Declaration"&amp;ADDRESS(ROW(),COLUMN(),4),L!$A:$A,0)-1,SL,,),"")</f>
        <v/>
      </c>
      <c r="E11" s="445"/>
      <c r="F11" s="445"/>
      <c r="G11" s="445"/>
      <c r="H11" s="445"/>
      <c r="I11" s="445"/>
      <c r="J11" s="446"/>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25"/>
      <c r="E12" s="426"/>
      <c r="F12" s="426"/>
      <c r="G12" s="426"/>
      <c r="H12" s="426"/>
      <c r="I12" s="426"/>
      <c r="J12" s="427"/>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25"/>
      <c r="E13" s="426"/>
      <c r="F13" s="426"/>
      <c r="G13" s="426"/>
      <c r="H13" s="426"/>
      <c r="I13" s="426"/>
      <c r="J13" s="427"/>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4" t="s">
        <v>15607</v>
      </c>
      <c r="E14" s="405"/>
      <c r="F14" s="405"/>
      <c r="G14" s="405"/>
      <c r="H14" s="405"/>
      <c r="I14" s="405"/>
      <c r="J14" s="406"/>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4" t="s">
        <v>15608</v>
      </c>
      <c r="E15" s="405"/>
      <c r="F15" s="405"/>
      <c r="G15" s="405"/>
      <c r="H15" s="405"/>
      <c r="I15" s="405"/>
      <c r="J15" s="406"/>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6" t="s">
        <v>15609</v>
      </c>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4" t="s">
        <v>15610</v>
      </c>
      <c r="E17" s="405"/>
      <c r="F17" s="405"/>
      <c r="G17" s="405"/>
      <c r="H17" s="405"/>
      <c r="I17" s="405"/>
      <c r="J17" s="406"/>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4" t="s">
        <v>15611</v>
      </c>
      <c r="E18" s="405"/>
      <c r="F18" s="405"/>
      <c r="G18" s="405"/>
      <c r="H18" s="405"/>
      <c r="I18" s="405"/>
      <c r="J18" s="406"/>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4" t="s">
        <v>15612</v>
      </c>
      <c r="E19" s="405"/>
      <c r="F19" s="405"/>
      <c r="G19" s="405"/>
      <c r="H19" s="405"/>
      <c r="I19" s="405"/>
      <c r="J19" s="406"/>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6" t="s">
        <v>15613</v>
      </c>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8" t="s">
        <v>15614</v>
      </c>
      <c r="E21" s="399"/>
      <c r="F21" s="399"/>
      <c r="G21" s="399"/>
      <c r="H21" s="399"/>
      <c r="I21" s="399"/>
      <c r="J21" s="400"/>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01">
        <v>44355</v>
      </c>
      <c r="E22" s="402"/>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41"/>
      <c r="E23" s="44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03" t="str">
        <f ca="1">OFFSET(L!$C$1,MATCH("Declaration"&amp;ADDRESS(ROW(),COLUMN(),4),L!$A:$A,0)-1,SL,,)</f>
        <v>Answer the following questions 1 - 8 based on the declaration scope indicated above</v>
      </c>
      <c r="C24" s="403"/>
      <c r="D24" s="403"/>
      <c r="E24" s="403"/>
      <c r="F24" s="403"/>
      <c r="G24" s="403"/>
      <c r="H24" s="403"/>
      <c r="I24" s="403"/>
      <c r="J24" s="403"/>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42" t="str">
        <f ca="1">OFFSET(L!$C$1,MATCH("Declaration"&amp;ADDRESS(ROW(),COLUMN(),4),L!$A:$A,0)-1,SL,,)</f>
        <v>Answer</v>
      </c>
      <c r="E25" s="442"/>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92" t="s">
        <v>489</v>
      </c>
      <c r="E26" s="393"/>
      <c r="F26" s="15"/>
      <c r="G26" s="394"/>
      <c r="H26" s="395"/>
      <c r="I26" s="395"/>
      <c r="J26" s="396"/>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92" t="s">
        <v>488</v>
      </c>
      <c r="E27" s="393"/>
      <c r="F27" s="15"/>
      <c r="G27" s="394"/>
      <c r="H27" s="395"/>
      <c r="I27" s="395"/>
      <c r="J27" s="396"/>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92" t="s">
        <v>488</v>
      </c>
      <c r="E28" s="393"/>
      <c r="F28" s="15"/>
      <c r="G28" s="394"/>
      <c r="H28" s="395"/>
      <c r="I28" s="395"/>
      <c r="J28" s="396"/>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92" t="s">
        <v>489</v>
      </c>
      <c r="E29" s="393"/>
      <c r="F29" s="15"/>
      <c r="G29" s="394"/>
      <c r="H29" s="395"/>
      <c r="I29" s="395"/>
      <c r="J29" s="396"/>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7"/>
      <c r="E32" s="408"/>
      <c r="F32" s="58"/>
      <c r="G32" s="394"/>
      <c r="H32" s="395"/>
      <c r="I32" s="395"/>
      <c r="J32" s="396"/>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92" t="s">
        <v>488</v>
      </c>
      <c r="E33" s="393"/>
      <c r="F33" s="58"/>
      <c r="G33" s="394"/>
      <c r="H33" s="395"/>
      <c r="I33" s="395"/>
      <c r="J33" s="396"/>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92" t="s">
        <v>488</v>
      </c>
      <c r="E34" s="393"/>
      <c r="F34" s="58"/>
      <c r="G34" s="394"/>
      <c r="H34" s="395"/>
      <c r="I34" s="395"/>
      <c r="J34" s="396"/>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92"/>
      <c r="E35" s="393"/>
      <c r="F35" s="58"/>
      <c r="G35" s="394"/>
      <c r="H35" s="395"/>
      <c r="I35" s="395"/>
      <c r="J35" s="396"/>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40"/>
      <c r="I37" s="440"/>
      <c r="J37" s="440"/>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92"/>
      <c r="E38" s="393"/>
      <c r="F38" s="58"/>
      <c r="G38" s="394"/>
      <c r="H38" s="395"/>
      <c r="I38" s="395"/>
      <c r="J38" s="396"/>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92" t="s">
        <v>489</v>
      </c>
      <c r="E39" s="393"/>
      <c r="F39" s="58"/>
      <c r="G39" s="394"/>
      <c r="H39" s="395"/>
      <c r="I39" s="395"/>
      <c r="J39" s="396"/>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92" t="s">
        <v>489</v>
      </c>
      <c r="E40" s="393"/>
      <c r="F40" s="58"/>
      <c r="G40" s="394"/>
      <c r="H40" s="395"/>
      <c r="I40" s="395"/>
      <c r="J40" s="396"/>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92"/>
      <c r="E41" s="393"/>
      <c r="F41" s="58"/>
      <c r="G41" s="394"/>
      <c r="H41" s="395"/>
      <c r="I41" s="395"/>
      <c r="J41" s="396"/>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7" t="str">
        <f ca="1">D25</f>
        <v>Answer</v>
      </c>
      <c r="E43" s="397"/>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92"/>
      <c r="E44" s="393"/>
      <c r="F44" s="58"/>
      <c r="G44" s="394"/>
      <c r="H44" s="395"/>
      <c r="I44" s="395"/>
      <c r="J44" s="396"/>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92" t="s">
        <v>489</v>
      </c>
      <c r="E45" s="393"/>
      <c r="F45" s="58"/>
      <c r="G45" s="394"/>
      <c r="H45" s="395"/>
      <c r="I45" s="395"/>
      <c r="J45" s="396"/>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92" t="s">
        <v>489</v>
      </c>
      <c r="E46" s="393"/>
      <c r="F46" s="58"/>
      <c r="G46" s="394"/>
      <c r="H46" s="395"/>
      <c r="I46" s="395"/>
      <c r="J46" s="396"/>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92"/>
      <c r="E47" s="393"/>
      <c r="F47" s="58"/>
      <c r="G47" s="394"/>
      <c r="H47" s="395"/>
      <c r="I47" s="395"/>
      <c r="J47" s="396"/>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7" t="str">
        <f ca="1">D25</f>
        <v>Answer</v>
      </c>
      <c r="E49" s="397"/>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92"/>
      <c r="E50" s="393"/>
      <c r="F50" s="58"/>
      <c r="G50" s="394"/>
      <c r="H50" s="395"/>
      <c r="I50" s="395"/>
      <c r="J50" s="396"/>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90" t="s">
        <v>489</v>
      </c>
      <c r="E51" s="391"/>
      <c r="F51" s="58"/>
      <c r="G51" s="394"/>
      <c r="H51" s="395"/>
      <c r="I51" s="395"/>
      <c r="J51" s="396"/>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90" t="s">
        <v>489</v>
      </c>
      <c r="E52" s="391"/>
      <c r="F52" s="58"/>
      <c r="G52" s="394"/>
      <c r="H52" s="395"/>
      <c r="I52" s="395"/>
      <c r="J52" s="396"/>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92"/>
      <c r="E53" s="393"/>
      <c r="F53" s="58"/>
      <c r="G53" s="394"/>
      <c r="H53" s="395"/>
      <c r="I53" s="395"/>
      <c r="J53" s="396"/>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397" t="str">
        <f ca="1">D25</f>
        <v>Answer</v>
      </c>
      <c r="E55" s="397"/>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90"/>
      <c r="E56" s="391"/>
      <c r="F56" s="58"/>
      <c r="G56" s="394"/>
      <c r="H56" s="395"/>
      <c r="I56" s="395"/>
      <c r="J56" s="396"/>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0">
        <v>1</v>
      </c>
      <c r="E57" s="391"/>
      <c r="F57" s="58"/>
      <c r="G57" s="394"/>
      <c r="H57" s="395"/>
      <c r="I57" s="395"/>
      <c r="J57" s="396"/>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90">
        <v>1</v>
      </c>
      <c r="E58" s="391"/>
      <c r="F58" s="58"/>
      <c r="G58" s="394"/>
      <c r="H58" s="395"/>
      <c r="I58" s="395"/>
      <c r="J58" s="396"/>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90"/>
      <c r="E59" s="391"/>
      <c r="F59" s="58"/>
      <c r="G59" s="394"/>
      <c r="H59" s="395"/>
      <c r="I59" s="395"/>
      <c r="J59" s="396"/>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397" t="str">
        <f ca="1">D25</f>
        <v>Answer</v>
      </c>
      <c r="E61" s="397"/>
      <c r="F61" s="21"/>
      <c r="G61" s="55" t="str">
        <f ca="1">G25</f>
        <v>Comments</v>
      </c>
      <c r="H61" s="439"/>
      <c r="I61" s="439"/>
      <c r="J61" s="439"/>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7"/>
      <c r="E62" s="408"/>
      <c r="F62" s="58"/>
      <c r="G62" s="394"/>
      <c r="H62" s="395"/>
      <c r="I62" s="395"/>
      <c r="J62" s="396"/>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92" t="s">
        <v>488</v>
      </c>
      <c r="E63" s="393"/>
      <c r="F63" s="58"/>
      <c r="G63" s="394"/>
      <c r="H63" s="395"/>
      <c r="I63" s="395"/>
      <c r="J63" s="396"/>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92" t="s">
        <v>488</v>
      </c>
      <c r="E64" s="393"/>
      <c r="F64" s="58"/>
      <c r="G64" s="394"/>
      <c r="H64" s="395"/>
      <c r="I64" s="395"/>
      <c r="J64" s="396"/>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92"/>
      <c r="E65" s="393"/>
      <c r="F65" s="58"/>
      <c r="G65" s="394"/>
      <c r="H65" s="395"/>
      <c r="I65" s="395"/>
      <c r="J65" s="396"/>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7" t="str">
        <f ca="1">D25</f>
        <v>Answer</v>
      </c>
      <c r="E67" s="397"/>
      <c r="F67" s="21"/>
      <c r="G67" s="55" t="str">
        <f ca="1">G25</f>
        <v>Comments</v>
      </c>
      <c r="H67" s="439" t="str">
        <f>IF(Q75="(*)","Click here to enter smelter names","")</f>
        <v/>
      </c>
      <c r="I67" s="439"/>
      <c r="J67" s="439"/>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92"/>
      <c r="E68" s="393"/>
      <c r="F68" s="59"/>
      <c r="G68" s="394"/>
      <c r="H68" s="395"/>
      <c r="I68" s="395"/>
      <c r="J68" s="396"/>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92" t="s">
        <v>488</v>
      </c>
      <c r="E69" s="393"/>
      <c r="F69" s="59"/>
      <c r="G69" s="394"/>
      <c r="H69" s="395"/>
      <c r="I69" s="395"/>
      <c r="J69" s="396"/>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92" t="s">
        <v>488</v>
      </c>
      <c r="E70" s="393"/>
      <c r="F70" s="59"/>
      <c r="G70" s="394"/>
      <c r="H70" s="395"/>
      <c r="I70" s="395"/>
      <c r="J70" s="396"/>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92"/>
      <c r="E71" s="393"/>
      <c r="F71" s="61"/>
      <c r="G71" s="394"/>
      <c r="H71" s="395"/>
      <c r="I71" s="395"/>
      <c r="J71" s="396"/>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53" t="str">
        <f ca="1">OFFSET(L!$C$1,MATCH("Declaration"&amp;ADDRESS(ROW(),COLUMN(),4),L!$A:$A,0)-1,SL,,)</f>
        <v>Answer the Following Questions at a Company Level</v>
      </c>
      <c r="C73" s="453"/>
      <c r="D73" s="453"/>
      <c r="E73" s="453"/>
      <c r="F73" s="453"/>
      <c r="G73" s="453"/>
      <c r="H73" s="453"/>
      <c r="I73" s="453"/>
      <c r="J73" s="45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42" t="str">
        <f ca="1">D25</f>
        <v>Answer</v>
      </c>
      <c r="E74" s="442"/>
      <c r="F74" s="64"/>
      <c r="G74" s="442" t="str">
        <f ca="1">G25</f>
        <v>Comments</v>
      </c>
      <c r="H74" s="442" t="e">
        <f>HLOOKUP(SL,LT,$O74,0)</f>
        <v>#NAME?</v>
      </c>
      <c r="I74" s="44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92" t="s">
        <v>488</v>
      </c>
      <c r="E75" s="393"/>
      <c r="F75" s="68"/>
      <c r="G75" s="394"/>
      <c r="H75" s="395"/>
      <c r="I75" s="395"/>
      <c r="J75" s="396"/>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43"/>
      <c r="H76" s="443"/>
      <c r="I76" s="443"/>
      <c r="J76" s="443"/>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92" t="s">
        <v>488</v>
      </c>
      <c r="E77" s="393"/>
      <c r="F77" s="68"/>
      <c r="G77" s="409" t="s">
        <v>15615</v>
      </c>
      <c r="H77" s="410"/>
      <c r="I77" s="410"/>
      <c r="J77" s="411"/>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92" t="s">
        <v>488</v>
      </c>
      <c r="E79" s="393"/>
      <c r="F79" s="68"/>
      <c r="G79" s="394"/>
      <c r="H79" s="395"/>
      <c r="I79" s="395"/>
      <c r="J79" s="396"/>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92" t="s">
        <v>488</v>
      </c>
      <c r="E81" s="393"/>
      <c r="F81" s="68"/>
      <c r="G81" s="394" t="s">
        <v>15616</v>
      </c>
      <c r="H81" s="395"/>
      <c r="I81" s="395"/>
      <c r="J81" s="396"/>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92" t="s">
        <v>15250</v>
      </c>
      <c r="E83" s="393"/>
      <c r="F83" s="68"/>
      <c r="G83" s="394"/>
      <c r="H83" s="395"/>
      <c r="I83" s="395"/>
      <c r="J83" s="396"/>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50" t="s">
        <v>488</v>
      </c>
      <c r="E85" s="451"/>
      <c r="F85" s="68"/>
      <c r="G85" s="394"/>
      <c r="H85" s="395"/>
      <c r="I85" s="395"/>
      <c r="J85" s="396"/>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43"/>
      <c r="H86" s="443"/>
      <c r="I86" s="443"/>
      <c r="J86" s="443"/>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92" t="s">
        <v>488</v>
      </c>
      <c r="E87" s="393"/>
      <c r="F87" s="68"/>
      <c r="G87" s="394"/>
      <c r="H87" s="395"/>
      <c r="I87" s="395"/>
      <c r="J87" s="396"/>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52"/>
      <c r="H88" s="452"/>
      <c r="I88" s="452"/>
      <c r="J88" s="452"/>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92" t="s">
        <v>14218</v>
      </c>
      <c r="E89" s="393"/>
      <c r="F89" s="68"/>
      <c r="G89" s="394"/>
      <c r="H89" s="395"/>
      <c r="I89" s="395"/>
      <c r="J89" s="396"/>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9" t="str">
        <f>IF(OR($D$8="",$I$3=""),"","Click here to check required fields completion")</f>
        <v/>
      </c>
      <c r="C90" s="449"/>
      <c r="D90" s="449"/>
      <c r="E90" s="449"/>
      <c r="F90" s="449"/>
      <c r="G90" s="449"/>
      <c r="H90" s="449"/>
      <c r="I90" s="449"/>
      <c r="J90" s="449"/>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47" t="str">
        <f ca="1">OFFSET(L!$C$1,MATCH("General"&amp;"Cpy",L!$A:$A,0)-1,SL,,)</f>
        <v>© 2021 Responsible Minerals Initiative. All rights reserved.</v>
      </c>
      <c r="B91" s="448"/>
      <c r="C91" s="448"/>
      <c r="D91" s="448"/>
      <c r="E91" s="448"/>
      <c r="F91" s="448"/>
      <c r="G91" s="448"/>
      <c r="H91" s="448"/>
      <c r="I91" s="448"/>
      <c r="J91" s="448"/>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phoneticPr fontId="98"/>
  <conditionalFormatting sqref="G77:J77">
    <cfRule type="expression" dxfId="163" priority="120" stopIfTrue="1">
      <formula>IF(AND($D$77="Yes",$G$77=""),TRUE)</formula>
    </cfRule>
  </conditionalFormatting>
  <conditionalFormatting sqref="D16:J16">
    <cfRule type="expression" dxfId="162" priority="217" stopIfTrue="1">
      <formula>IF($D$16="",TRUE)</formula>
    </cfRule>
  </conditionalFormatting>
  <conditionalFormatting sqref="D22:E22">
    <cfRule type="expression" dxfId="161" priority="222" stopIfTrue="1">
      <formula>IF($D$22="",TRUE)</formula>
    </cfRule>
  </conditionalFormatting>
  <conditionalFormatting sqref="D10:J10">
    <cfRule type="expression" dxfId="160" priority="119" stopIfTrue="1">
      <formula>IF($D$9=$Q$9,TRUE)</formula>
    </cfRule>
    <cfRule type="expression" dxfId="159" priority="229" stopIfTrue="1">
      <formula>IF(AND($D$10="",$D$9=$R$9),TRUE)</formula>
    </cfRule>
  </conditionalFormatting>
  <conditionalFormatting sqref="G85:J85">
    <cfRule type="expression" dxfId="158" priority="110" stopIfTrue="1">
      <formula>IF(AND($D$85="Yes, using other format (describe)",$G$85=""),TRUE)</formula>
    </cfRule>
  </conditionalFormatting>
  <conditionalFormatting sqref="D20:J20">
    <cfRule type="expression" dxfId="157" priority="98" stopIfTrue="1">
      <formula>IF($D$20="",TRUE)</formula>
    </cfRule>
  </conditionalFormatting>
  <conditionalFormatting sqref="D8:J8">
    <cfRule type="expression" dxfId="156" priority="85" stopIfTrue="1">
      <formula>IF($D$8="",TRUE)</formula>
    </cfRule>
  </conditionalFormatting>
  <conditionalFormatting sqref="D9:G9">
    <cfRule type="expression" dxfId="155" priority="84" stopIfTrue="1">
      <formula>IF($D$9="",TRUE)</formula>
    </cfRule>
  </conditionalFormatting>
  <conditionalFormatting sqref="D15:J15">
    <cfRule type="expression" dxfId="154" priority="83" stopIfTrue="1">
      <formula>IF($D$15="",TRUE)</formula>
    </cfRule>
  </conditionalFormatting>
  <conditionalFormatting sqref="D17:J17">
    <cfRule type="expression" dxfId="153" priority="82" stopIfTrue="1">
      <formula>IF($D$17="",TRUE)</formula>
    </cfRule>
  </conditionalFormatting>
  <conditionalFormatting sqref="D18:J18">
    <cfRule type="expression" dxfId="152" priority="81" stopIfTrue="1">
      <formula>IF($D$18="",TRUE)</formula>
    </cfRule>
  </conditionalFormatting>
  <conditionalFormatting sqref="D26:E26">
    <cfRule type="expression" dxfId="151" priority="79" stopIfTrue="1">
      <formula>IF($D$26="",TRUE)</formula>
    </cfRule>
  </conditionalFormatting>
  <conditionalFormatting sqref="D27:E27">
    <cfRule type="expression" dxfId="150" priority="80" stopIfTrue="1">
      <formula>IF($D$27="",TRUE)</formula>
    </cfRule>
  </conditionalFormatting>
  <conditionalFormatting sqref="D28:E28">
    <cfRule type="expression" dxfId="149" priority="78" stopIfTrue="1">
      <formula>IF($D$27="",TRUE)</formula>
    </cfRule>
  </conditionalFormatting>
  <conditionalFormatting sqref="D29:E29">
    <cfRule type="expression" dxfId="148" priority="77" stopIfTrue="1">
      <formula>IF($D$26="",TRUE)</formula>
    </cfRule>
  </conditionalFormatting>
  <conditionalFormatting sqref="D35:E35">
    <cfRule type="expression" dxfId="147" priority="76" stopIfTrue="1">
      <formula>$P$29=""</formula>
    </cfRule>
  </conditionalFormatting>
  <conditionalFormatting sqref="D32:E32">
    <cfRule type="expression" dxfId="146" priority="75" stopIfTrue="1">
      <formula>$P$26=""</formula>
    </cfRule>
  </conditionalFormatting>
  <conditionalFormatting sqref="D32:E32">
    <cfRule type="expression" dxfId="145" priority="74" stopIfTrue="1">
      <formula>IF(AND(OR($D$26="Yes",$D$26=""),$D$32=""),1,0)</formula>
    </cfRule>
  </conditionalFormatting>
  <conditionalFormatting sqref="D35:E35">
    <cfRule type="expression" dxfId="144" priority="73" stopIfTrue="1">
      <formula>IF(AND(OR($D$29="Yes",$D$29=""),$D$35=""),1,0)</formula>
    </cfRule>
  </conditionalFormatting>
  <conditionalFormatting sqref="D34:E34">
    <cfRule type="expression" dxfId="143" priority="71" stopIfTrue="1">
      <formula>$P$28=""</formula>
    </cfRule>
  </conditionalFormatting>
  <conditionalFormatting sqref="D34:E34">
    <cfRule type="expression" dxfId="142" priority="72" stopIfTrue="1">
      <formula>IF(AND(OR($D$28="Yes",$D$28=""),$D$34=""),1,0)</formula>
    </cfRule>
  </conditionalFormatting>
  <conditionalFormatting sqref="D33:E33">
    <cfRule type="expression" dxfId="141" priority="70" stopIfTrue="1">
      <formula>IF($D$27="",TRUE)</formula>
    </cfRule>
  </conditionalFormatting>
  <conditionalFormatting sqref="D41:E41">
    <cfRule type="expression" dxfId="140" priority="68" stopIfTrue="1">
      <formula>$P$29=""</formula>
    </cfRule>
  </conditionalFormatting>
  <conditionalFormatting sqref="D38">
    <cfRule type="expression" dxfId="139" priority="65" stopIfTrue="1">
      <formula>$P$32=""</formula>
    </cfRule>
  </conditionalFormatting>
  <conditionalFormatting sqref="D41">
    <cfRule type="expression" dxfId="138" priority="64" stopIfTrue="1">
      <formula>$P$35=""</formula>
    </cfRule>
  </conditionalFormatting>
  <conditionalFormatting sqref="D38:E38">
    <cfRule type="expression" dxfId="137" priority="66" stopIfTrue="1">
      <formula>$P$26=""</formula>
    </cfRule>
    <cfRule type="expression" dxfId="136" priority="67" stopIfTrue="1">
      <formula>IF(AND(OR($D$26="Yes",$D$26=""),D38=""),1,0)</formula>
    </cfRule>
  </conditionalFormatting>
  <conditionalFormatting sqref="D41:E41">
    <cfRule type="expression" dxfId="135" priority="69" stopIfTrue="1">
      <formula>IF(AND(OR($D$29="Yes",$D$29=""),D41=""),1,0)</formula>
    </cfRule>
  </conditionalFormatting>
  <conditionalFormatting sqref="D39:E39">
    <cfRule type="expression" dxfId="134" priority="63" stopIfTrue="1">
      <formula>IF($D$26="",TRUE)</formula>
    </cfRule>
  </conditionalFormatting>
  <conditionalFormatting sqref="D40:E40">
    <cfRule type="expression" dxfId="133" priority="62" stopIfTrue="1">
      <formula>IF($D$26="",TRUE)</formula>
    </cfRule>
  </conditionalFormatting>
  <conditionalFormatting sqref="D46:E46">
    <cfRule type="expression" dxfId="132" priority="52" stopIfTrue="1">
      <formula>$P$28=""</formula>
    </cfRule>
  </conditionalFormatting>
  <conditionalFormatting sqref="D47:E47">
    <cfRule type="expression" dxfId="131" priority="60" stopIfTrue="1">
      <formula>$P$29=""</formula>
    </cfRule>
  </conditionalFormatting>
  <conditionalFormatting sqref="D44">
    <cfRule type="expression" dxfId="130" priority="54" stopIfTrue="1">
      <formula>$P$32=""</formula>
    </cfRule>
  </conditionalFormatting>
  <conditionalFormatting sqref="D45">
    <cfRule type="expression" dxfId="129" priority="53" stopIfTrue="1">
      <formula>$P$33=""</formula>
    </cfRule>
  </conditionalFormatting>
  <conditionalFormatting sqref="D46">
    <cfRule type="expression" dxfId="128" priority="50" stopIfTrue="1">
      <formula>$P$34=""</formula>
    </cfRule>
    <cfRule type="expression" dxfId="127" priority="59" stopIfTrue="1">
      <formula>IF(AND(OR($D$28="Yes",$D$28=""),D46=""),1,0)</formula>
    </cfRule>
  </conditionalFormatting>
  <conditionalFormatting sqref="D47">
    <cfRule type="expression" dxfId="126" priority="51" stopIfTrue="1">
      <formula>$P$35=""</formula>
    </cfRule>
  </conditionalFormatting>
  <conditionalFormatting sqref="D44:E44">
    <cfRule type="expression" dxfId="125" priority="55" stopIfTrue="1">
      <formula>$P$26=""</formula>
    </cfRule>
    <cfRule type="expression" dxfId="124" priority="56" stopIfTrue="1">
      <formula>IF(AND(OR($D$26="Yes",$D$26=""),D44=""),1,0)</formula>
    </cfRule>
  </conditionalFormatting>
  <conditionalFormatting sqref="D45:E45">
    <cfRule type="expression" dxfId="123" priority="57" stopIfTrue="1">
      <formula>$P$39=""</formula>
    </cfRule>
    <cfRule type="expression" dxfId="122" priority="58" stopIfTrue="1">
      <formula>IF(AND(OR($D$27="Yes",$D$27=""),D45=""),1,0)</formula>
    </cfRule>
  </conditionalFormatting>
  <conditionalFormatting sqref="D47:E47">
    <cfRule type="expression" dxfId="121" priority="61" stopIfTrue="1">
      <formula>IF(AND(OR($D$29="Yes",$D$29=""),D47=""),1,0)</formula>
    </cfRule>
  </conditionalFormatting>
  <conditionalFormatting sqref="D53:E53">
    <cfRule type="expression" dxfId="120" priority="48" stopIfTrue="1">
      <formula>$P$29=""</formula>
    </cfRule>
  </conditionalFormatting>
  <conditionalFormatting sqref="D50">
    <cfRule type="expression" dxfId="119" priority="45" stopIfTrue="1">
      <formula>$P$32=""</formula>
    </cfRule>
  </conditionalFormatting>
  <conditionalFormatting sqref="D53">
    <cfRule type="expression" dxfId="118" priority="44" stopIfTrue="1">
      <formula>$P$35=""</formula>
    </cfRule>
  </conditionalFormatting>
  <conditionalFormatting sqref="D50:E50">
    <cfRule type="expression" dxfId="117" priority="46" stopIfTrue="1">
      <formula>$P$26=""</formula>
    </cfRule>
    <cfRule type="expression" dxfId="116" priority="47" stopIfTrue="1">
      <formula>IF(AND(OR($D$26="Yes",$D$26=""),D50=""),1,0)</formula>
    </cfRule>
  </conditionalFormatting>
  <conditionalFormatting sqref="D53:E53">
    <cfRule type="expression" dxfId="115" priority="49" stopIfTrue="1">
      <formula>IF(AND(OR($D$29="Yes",$D$29=""),D53=""),1,0)</formula>
    </cfRule>
  </conditionalFormatting>
  <conditionalFormatting sqref="D52:E52">
    <cfRule type="expression" dxfId="114" priority="39" stopIfTrue="1">
      <formula>$P$28=""</formula>
    </cfRule>
  </conditionalFormatting>
  <conditionalFormatting sqref="D51">
    <cfRule type="expression" dxfId="113" priority="40" stopIfTrue="1">
      <formula>$P$33=""</formula>
    </cfRule>
  </conditionalFormatting>
  <conditionalFormatting sqref="D52">
    <cfRule type="expression" dxfId="112" priority="38" stopIfTrue="1">
      <formula>$P$34=""</formula>
    </cfRule>
    <cfRule type="expression" dxfId="111" priority="43" stopIfTrue="1">
      <formula>IF(AND(OR($D$28="Yes",$D$28=""),D52=""),1,0)</formula>
    </cfRule>
  </conditionalFormatting>
  <conditionalFormatting sqref="D51:E51">
    <cfRule type="expression" dxfId="110" priority="41" stopIfTrue="1">
      <formula>$P$39=""</formula>
    </cfRule>
    <cfRule type="expression" dxfId="109" priority="42" stopIfTrue="1">
      <formula>IF(AND(OR($D$27="Yes",$D$27=""),D51=""),1,0)</formula>
    </cfRule>
  </conditionalFormatting>
  <conditionalFormatting sqref="D59:E59">
    <cfRule type="expression" dxfId="108" priority="36" stopIfTrue="1">
      <formula>$P$29=""</formula>
    </cfRule>
  </conditionalFormatting>
  <conditionalFormatting sqref="D56">
    <cfRule type="expression" dxfId="107" priority="33" stopIfTrue="1">
      <formula>$P$32=""</formula>
    </cfRule>
  </conditionalFormatting>
  <conditionalFormatting sqref="D59">
    <cfRule type="expression" dxfId="106" priority="32" stopIfTrue="1">
      <formula>$P$35=""</formula>
    </cfRule>
  </conditionalFormatting>
  <conditionalFormatting sqref="D56:E56">
    <cfRule type="expression" dxfId="105" priority="34" stopIfTrue="1">
      <formula>$P$26=""</formula>
    </cfRule>
    <cfRule type="expression" dxfId="104" priority="35" stopIfTrue="1">
      <formula>IF(AND(OR($D$26="Yes",$D$26=""),D56=""),1,0)</formula>
    </cfRule>
  </conditionalFormatting>
  <conditionalFormatting sqref="D59:E59">
    <cfRule type="expression" dxfId="103" priority="37" stopIfTrue="1">
      <formula>IF(AND(OR($D$29="Yes",$D$29=""),D59=""),1,0)</formula>
    </cfRule>
  </conditionalFormatting>
  <conditionalFormatting sqref="D57">
    <cfRule type="expression" dxfId="102" priority="29" stopIfTrue="1">
      <formula>$P$33=""</formula>
    </cfRule>
  </conditionalFormatting>
  <conditionalFormatting sqref="D57:E57">
    <cfRule type="expression" dxfId="101" priority="30" stopIfTrue="1">
      <formula>$P$39=""</formula>
    </cfRule>
    <cfRule type="expression" dxfId="100" priority="31" stopIfTrue="1">
      <formula>IF(AND(OR($D$27="Yes",$D$27=""),D57=""),1,0)</formula>
    </cfRule>
  </conditionalFormatting>
  <conditionalFormatting sqref="D58:E58">
    <cfRule type="expression" dxfId="99" priority="27" stopIfTrue="1">
      <formula>$P$28=""</formula>
    </cfRule>
  </conditionalFormatting>
  <conditionalFormatting sqref="D58">
    <cfRule type="expression" dxfId="98" priority="26" stopIfTrue="1">
      <formula>$P$34=""</formula>
    </cfRule>
    <cfRule type="expression" dxfId="97" priority="28" stopIfTrue="1">
      <formula>IF(AND(OR($D$28="Yes",$D$28=""),D58=""),1,0)</formula>
    </cfRule>
  </conditionalFormatting>
  <conditionalFormatting sqref="D65:E65">
    <cfRule type="expression" dxfId="96" priority="24" stopIfTrue="1">
      <formula>$P$29=""</formula>
    </cfRule>
  </conditionalFormatting>
  <conditionalFormatting sqref="D62">
    <cfRule type="expression" dxfId="95" priority="21" stopIfTrue="1">
      <formula>$P$32=""</formula>
    </cfRule>
  </conditionalFormatting>
  <conditionalFormatting sqref="D65">
    <cfRule type="expression" dxfId="94" priority="20" stopIfTrue="1">
      <formula>$P$35=""</formula>
    </cfRule>
  </conditionalFormatting>
  <conditionalFormatting sqref="D62:E62">
    <cfRule type="expression" dxfId="93" priority="22" stopIfTrue="1">
      <formula>$P$26=""</formula>
    </cfRule>
    <cfRule type="expression" dxfId="92" priority="23" stopIfTrue="1">
      <formula>IF(AND(OR($D$26="Yes",$D$26=""),D62=""),1,0)</formula>
    </cfRule>
  </conditionalFormatting>
  <conditionalFormatting sqref="D65:E65">
    <cfRule type="expression" dxfId="91" priority="25" stopIfTrue="1">
      <formula>IF(AND(OR($D$29="Yes",$D$29=""),D65=""),1,0)</formula>
    </cfRule>
  </conditionalFormatting>
  <conditionalFormatting sqref="D63:E63">
    <cfRule type="expression" dxfId="90" priority="19" stopIfTrue="1">
      <formula>IF($D$27="",TRUE)</formula>
    </cfRule>
  </conditionalFormatting>
  <conditionalFormatting sqref="D64:E64">
    <cfRule type="expression" dxfId="89" priority="18" stopIfTrue="1">
      <formula>IF($D$27="",TRUE)</formula>
    </cfRule>
  </conditionalFormatting>
  <conditionalFormatting sqref="D71:E71">
    <cfRule type="expression" dxfId="88" priority="16" stopIfTrue="1">
      <formula>$P$29=""</formula>
    </cfRule>
  </conditionalFormatting>
  <conditionalFormatting sqref="D68">
    <cfRule type="expression" dxfId="87" priority="13" stopIfTrue="1">
      <formula>$P$32=""</formula>
    </cfRule>
  </conditionalFormatting>
  <conditionalFormatting sqref="D71">
    <cfRule type="expression" dxfId="86" priority="12" stopIfTrue="1">
      <formula>$P$35=""</formula>
    </cfRule>
  </conditionalFormatting>
  <conditionalFormatting sqref="D68:E68">
    <cfRule type="expression" dxfId="85" priority="14" stopIfTrue="1">
      <formula>$P$26=""</formula>
    </cfRule>
    <cfRule type="expression" dxfId="84" priority="15" stopIfTrue="1">
      <formula>IF(AND(OR($D$26="Yes",$D$26=""),D68=""),1,0)</formula>
    </cfRule>
  </conditionalFormatting>
  <conditionalFormatting sqref="D71:E71">
    <cfRule type="expression" dxfId="83" priority="17" stopIfTrue="1">
      <formula>IF(AND(OR($D$29="Yes",$D$29=""),D71=""),1,0)</formula>
    </cfRule>
  </conditionalFormatting>
  <conditionalFormatting sqref="D69:E69">
    <cfRule type="expression" dxfId="82" priority="11" stopIfTrue="1">
      <formula>IF($D$27="",TRUE)</formula>
    </cfRule>
  </conditionalFormatting>
  <conditionalFormatting sqref="D70:E70">
    <cfRule type="expression" dxfId="81" priority="10" stopIfTrue="1">
      <formula>IF($D$27="",TRUE)</formula>
    </cfRule>
  </conditionalFormatting>
  <conditionalFormatting sqref="D75:E75">
    <cfRule type="expression" dxfId="80" priority="9" stopIfTrue="1">
      <formula>IF($D$27="",TRUE)</formula>
    </cfRule>
  </conditionalFormatting>
  <conditionalFormatting sqref="D77:E77">
    <cfRule type="expression" dxfId="79" priority="8" stopIfTrue="1">
      <formula>IF($D$27="",TRUE)</formula>
    </cfRule>
  </conditionalFormatting>
  <conditionalFormatting sqref="D79:E79">
    <cfRule type="expression" dxfId="78" priority="7" stopIfTrue="1">
      <formula>IF($D$27="",TRUE)</formula>
    </cfRule>
  </conditionalFormatting>
  <conditionalFormatting sqref="D81:E81">
    <cfRule type="expression" dxfId="77" priority="6" stopIfTrue="1">
      <formula>IF($D$27="",TRUE)</formula>
    </cfRule>
  </conditionalFormatting>
  <conditionalFormatting sqref="D83:E83">
    <cfRule type="expression" dxfId="76" priority="5" stopIfTrue="1">
      <formula>IF($D$27="",TRUE)</formula>
    </cfRule>
  </conditionalFormatting>
  <conditionalFormatting sqref="D85:E85">
    <cfRule type="expression" dxfId="75" priority="3" stopIfTrue="1">
      <formula>AND(OR($D$26="No",AND($D$26="Yes",$D$32="No")),OR($D$27="No",AND($D$27="Yes",$D$33="No")), OR($D$28="No",AND($D$28="Yes",$D$34="No")), OR($D$29="No",AND($D$29="Yes",$D$35="No")))</formula>
    </cfRule>
    <cfRule type="expression" dxfId="74" priority="4" stopIfTrue="1">
      <formula>IF(D85="",TRUE)</formula>
    </cfRule>
  </conditionalFormatting>
  <conditionalFormatting sqref="D87:E87">
    <cfRule type="expression" dxfId="73" priority="2" stopIfTrue="1">
      <formula>IF($D$27="",TRUE)</formula>
    </cfRule>
  </conditionalFormatting>
  <conditionalFormatting sqref="D89:E89">
    <cfRule type="expression" dxfId="72" priority="1" stopIfTrue="1">
      <formula>IF($D$27="",TRUE)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C6" sqref="C6"/>
    </sheetView>
  </sheetViews>
  <sheetFormatPr baseColWidth="10"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54" t="str">
        <f ca="1">OFFSET(L!$C$1,MATCH("Smelter List"&amp;ADDRESS(ROW(),COLUMN(),4),L!$A:$A,0)-1,SL,,)</f>
        <v>Link to "RMAP Conformant Smelter List"</v>
      </c>
      <c r="K2" s="455"/>
      <c r="L2" s="455"/>
      <c r="M2" s="455"/>
      <c r="N2" s="455"/>
      <c r="O2" s="455"/>
      <c r="P2" s="231"/>
      <c r="Q2" s="232"/>
      <c r="R2" s="233"/>
      <c r="S2" s="233"/>
      <c r="T2" s="233"/>
      <c r="U2" s="262"/>
      <c r="V2" s="262"/>
      <c r="W2" s="263"/>
      <c r="X2" s="262"/>
      <c r="Y2" s="262"/>
      <c r="Z2" s="262"/>
      <c r="AH2" s="174" t="s">
        <v>488</v>
      </c>
    </row>
    <row r="3" spans="1:34" s="264" customFormat="1" ht="273.95" customHeight="1">
      <c r="A3" s="202"/>
      <c r="B3" s="45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6"/>
      <c r="D3" s="456"/>
      <c r="E3" s="456"/>
      <c r="F3" s="265"/>
      <c r="G3" s="457" t="str">
        <f ca="1">OFFSET(L!$C$1,MATCH("General"&amp;"Cpy",L!$A:$A,0)-1,SL,,)</f>
        <v>© 2021 Responsible Minerals Initiative. All rights reserved.</v>
      </c>
      <c r="H3" s="457"/>
      <c r="I3" s="458"/>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214" t="s">
        <v>707</v>
      </c>
      <c r="B5" s="215" t="s">
        <v>1130</v>
      </c>
      <c r="C5" s="219" t="s">
        <v>2331</v>
      </c>
      <c r="D5" s="215"/>
      <c r="E5" s="215" t="s">
        <v>1098</v>
      </c>
      <c r="F5" s="215" t="s">
        <v>707</v>
      </c>
      <c r="G5" s="215" t="s">
        <v>13459</v>
      </c>
      <c r="H5" s="216">
        <v>0</v>
      </c>
      <c r="I5" s="217" t="s">
        <v>1629</v>
      </c>
      <c r="J5" s="217" t="s">
        <v>1630</v>
      </c>
      <c r="K5" s="268"/>
      <c r="L5" s="268"/>
      <c r="M5" s="268"/>
      <c r="N5" s="268"/>
      <c r="O5" s="268"/>
      <c r="P5" s="218"/>
      <c r="Q5" s="269"/>
      <c r="R5" s="215" t="str">
        <f ca="1">IF(ISERROR($V5),"",OFFSET('Smelter Look-up'!$C$4,$V5-4,0)&amp;"")</f>
        <v>Metalor Technologies S.A.</v>
      </c>
      <c r="S5" s="222" t="str">
        <f t="shared" ref="S5" ca="1" si="0">IF(B5="","",IF(ISERROR(MATCH($E5,CL,0)),"Unknown",INDIRECT("'C'!$A$"&amp;MATCH($E5,CL,0)+1)))</f>
        <v>CH</v>
      </c>
      <c r="T5" s="222" t="str">
        <f ca="1">IF(B5="","",IF(ISERROR(MATCH($J5,SorP!$B$1:$B$6230,0)),"",INDIRECT("'SorP'!$A$"&amp;MATCH($J5,SorP!$B$1:$B$6230,0))))</f>
        <v>CH-NE</v>
      </c>
      <c r="U5" s="238"/>
      <c r="V5" s="270">
        <f>IF(C5="",NA(),MATCH($B5&amp;$C5,'Smelter Look-up'!$J:$J,0))</f>
        <v>171</v>
      </c>
      <c r="W5" s="271"/>
      <c r="X5" s="271">
        <f t="shared" ref="X5" si="1">IF(AND(C5="Smelter not listed",OR(LEN(D5)=0,LEN(E5)=0)),1,0)</f>
        <v>0</v>
      </c>
      <c r="Y5" s="271"/>
      <c r="Z5" s="271"/>
      <c r="AB5" s="273" t="str">
        <f t="shared" ref="AB5" si="2">B5&amp;C5</f>
        <v>GoldMetalor Technologies S.A.</v>
      </c>
    </row>
    <row r="6" spans="1:34" s="272" customFormat="1" ht="20.100000000000001" customHeight="1">
      <c r="A6" s="214" t="s">
        <v>705</v>
      </c>
      <c r="B6" s="215" t="s">
        <v>1130</v>
      </c>
      <c r="C6" s="219" t="s">
        <v>2166</v>
      </c>
      <c r="D6" s="215"/>
      <c r="E6" s="215" t="s">
        <v>1100</v>
      </c>
      <c r="F6" s="215" t="s">
        <v>705</v>
      </c>
      <c r="G6" s="215" t="s">
        <v>13459</v>
      </c>
      <c r="H6" s="216">
        <v>0</v>
      </c>
      <c r="I6" s="217" t="s">
        <v>1628</v>
      </c>
      <c r="J6" s="217" t="s">
        <v>14067</v>
      </c>
      <c r="K6" s="268"/>
      <c r="L6" s="268"/>
      <c r="M6" s="268"/>
      <c r="N6" s="268"/>
      <c r="O6" s="268"/>
      <c r="P6" s="218"/>
      <c r="Q6" s="269"/>
      <c r="R6" s="215" t="str">
        <f ca="1">IF(ISERROR($V6),"",OFFSET('Smelter Look-up'!$C$4,$V6-4,0)&amp;"")</f>
        <v>Metalor Technologies (Hong Kong) Ltd.</v>
      </c>
      <c r="S6" s="222" t="str">
        <f t="shared" ref="S6:S37" ca="1" si="3">IF(B6="","",IF(ISERROR(MATCH($E6,CL,0)),"Unknown",INDIRECT("'C'!$A$"&amp;MATCH($E6,CL,0)+1)))</f>
        <v>CN</v>
      </c>
      <c r="T6" s="222" t="str">
        <f ca="1">IF(B6="","",IF(ISERROR(MATCH($J6,SorP!$B$1:$B$6230,0)),"",INDIRECT("'SorP'!$A$"&amp;MATCH($J6,SorP!$B$1:$B$6230,0))))</f>
        <v>CN-HK</v>
      </c>
      <c r="U6" s="238"/>
      <c r="V6" s="270">
        <f>IF(C6="",NA(),MATCH($B6&amp;$C6,'Smelter Look-up'!$J:$J,0))</f>
        <v>168</v>
      </c>
      <c r="W6" s="271"/>
      <c r="X6" s="271">
        <f t="shared" ref="X6:X37" si="4">IF(AND(C6="Smelter not listed",OR(LEN(D6)=0,LEN(E6)=0)),1,0)</f>
        <v>0</v>
      </c>
      <c r="Y6" s="271"/>
      <c r="Z6" s="271"/>
      <c r="AB6" s="273" t="str">
        <f t="shared" ref="AB6:AB37" si="5">B6&amp;C6</f>
        <v>GoldMetalor Technologies (Hong Kong) Ltd.</v>
      </c>
    </row>
    <row r="7" spans="1:34" s="272" customFormat="1" ht="20.100000000000001" customHeight="1">
      <c r="A7" s="214" t="s">
        <v>706</v>
      </c>
      <c r="B7" s="215" t="s">
        <v>1130</v>
      </c>
      <c r="C7" s="219" t="s">
        <v>2167</v>
      </c>
      <c r="D7" s="215"/>
      <c r="E7" s="215" t="s">
        <v>886</v>
      </c>
      <c r="F7" s="215" t="s">
        <v>706</v>
      </c>
      <c r="G7" s="215" t="s">
        <v>13459</v>
      </c>
      <c r="H7" s="216">
        <v>0</v>
      </c>
      <c r="I7" s="217" t="s">
        <v>12936</v>
      </c>
      <c r="J7" s="217" t="s">
        <v>10505</v>
      </c>
      <c r="K7" s="268"/>
      <c r="L7" s="268"/>
      <c r="M7" s="268"/>
      <c r="N7" s="268"/>
      <c r="O7" s="268"/>
      <c r="P7" s="218"/>
      <c r="Q7" s="269"/>
      <c r="R7" s="215" t="str">
        <f ca="1">IF(ISERROR($V7),"",OFFSET('Smelter Look-up'!$C$4,$V7-4,0)&amp;"")</f>
        <v>Metalor Technologies (Singapore) Pte., Ltd.</v>
      </c>
      <c r="S7" s="222" t="str">
        <f t="shared" ca="1" si="3"/>
        <v>SG</v>
      </c>
      <c r="T7" s="222" t="str">
        <f ca="1">IF(B7="","",IF(ISERROR(MATCH($J7,SorP!$B$1:$B$6230,0)),"",INDIRECT("'SorP'!$A$"&amp;MATCH($J7,SorP!$B$1:$B$6230,0))))</f>
        <v>SG-05</v>
      </c>
      <c r="U7" s="238"/>
      <c r="V7" s="270">
        <f>IF(C7="",NA(),MATCH($B7&amp;$C7,'Smelter Look-up'!$J:$J,0))</f>
        <v>169</v>
      </c>
      <c r="W7" s="271"/>
      <c r="X7" s="271">
        <f t="shared" si="4"/>
        <v>0</v>
      </c>
      <c r="Y7" s="271"/>
      <c r="Z7" s="271"/>
      <c r="AB7" s="273" t="str">
        <f t="shared" si="5"/>
        <v>GoldMetalor Technologies (Singapore) Pte., Ltd.</v>
      </c>
    </row>
    <row r="8" spans="1:34" s="272" customFormat="1" ht="20.100000000000001" customHeight="1">
      <c r="A8" s="214" t="s">
        <v>1627</v>
      </c>
      <c r="B8" s="215" t="s">
        <v>1130</v>
      </c>
      <c r="C8" s="219" t="s">
        <v>1626</v>
      </c>
      <c r="D8" s="215"/>
      <c r="E8" s="215" t="s">
        <v>1100</v>
      </c>
      <c r="F8" s="215" t="s">
        <v>1627</v>
      </c>
      <c r="G8" s="215" t="s">
        <v>13459</v>
      </c>
      <c r="H8" s="216">
        <v>0</v>
      </c>
      <c r="I8" s="217" t="s">
        <v>2544</v>
      </c>
      <c r="J8" s="217" t="s">
        <v>13855</v>
      </c>
      <c r="K8" s="268"/>
      <c r="L8" s="268"/>
      <c r="M8" s="268"/>
      <c r="N8" s="268"/>
      <c r="O8" s="268"/>
      <c r="P8" s="218"/>
      <c r="Q8" s="269"/>
      <c r="R8" s="215" t="str">
        <f ca="1">IF(ISERROR($V8),"",OFFSET('Smelter Look-up'!$C$4,$V8-4,0)&amp;"")</f>
        <v>Metalor Technologies (Suzhou) Ltd.</v>
      </c>
      <c r="S8" s="222" t="str">
        <f t="shared" ca="1" si="3"/>
        <v>CN</v>
      </c>
      <c r="T8" s="222" t="str">
        <f ca="1">IF(B8="","",IF(ISERROR(MATCH($J8,SorP!$B$1:$B$6230,0)),"",INDIRECT("'SorP'!$A$"&amp;MATCH($J8,SorP!$B$1:$B$6230,0))))</f>
        <v>CN-JS</v>
      </c>
      <c r="U8" s="238"/>
      <c r="V8" s="270">
        <f>IF(C8="",NA(),MATCH($B8&amp;$C8,'Smelter Look-up'!$J:$J,0))</f>
        <v>170</v>
      </c>
      <c r="W8" s="271"/>
      <c r="X8" s="271">
        <f t="shared" si="4"/>
        <v>0</v>
      </c>
      <c r="Y8" s="271"/>
      <c r="Z8" s="271"/>
      <c r="AB8" s="273" t="str">
        <f t="shared" si="5"/>
        <v>GoldMetalor Technologies (Suzhou) Ltd.</v>
      </c>
    </row>
    <row r="9" spans="1:34" s="272" customFormat="1" ht="20.100000000000001" customHeight="1">
      <c r="A9" s="214" t="s">
        <v>708</v>
      </c>
      <c r="B9" s="215" t="s">
        <v>1130</v>
      </c>
      <c r="C9" s="219" t="s">
        <v>1229</v>
      </c>
      <c r="D9" s="215"/>
      <c r="E9" s="215" t="s">
        <v>2463</v>
      </c>
      <c r="F9" s="215" t="s">
        <v>708</v>
      </c>
      <c r="G9" s="215" t="s">
        <v>13459</v>
      </c>
      <c r="H9" s="216">
        <v>0</v>
      </c>
      <c r="I9" s="217" t="s">
        <v>1631</v>
      </c>
      <c r="J9" s="217" t="s">
        <v>1632</v>
      </c>
      <c r="K9" s="268"/>
      <c r="L9" s="268"/>
      <c r="M9" s="268"/>
      <c r="N9" s="268"/>
      <c r="O9" s="268"/>
      <c r="P9" s="218"/>
      <c r="Q9" s="269"/>
      <c r="R9" s="215" t="str">
        <f ca="1">IF(ISERROR($V9),"",OFFSET('Smelter Look-up'!$C$4,$V9-4,0)&amp;"")</f>
        <v>Metalor USA Refining Corporation</v>
      </c>
      <c r="S9" s="222" t="str">
        <f t="shared" ca="1" si="3"/>
        <v>US</v>
      </c>
      <c r="T9" s="222" t="str">
        <f ca="1">IF(B9="","",IF(ISERROR(MATCH($J9,SorP!$B$1:$B$6230,0)),"",INDIRECT("'SorP'!$A$"&amp;MATCH($J9,SorP!$B$1:$B$6230,0))))</f>
        <v>US-MA</v>
      </c>
      <c r="U9" s="238"/>
      <c r="V9" s="270">
        <f>IF(C9="",NA(),MATCH($B9&amp;$C9,'Smelter Look-up'!$J:$J,0))</f>
        <v>172</v>
      </c>
      <c r="W9" s="271"/>
      <c r="X9" s="271">
        <f t="shared" si="4"/>
        <v>0</v>
      </c>
      <c r="Y9" s="271"/>
      <c r="Z9" s="271"/>
      <c r="AB9" s="273" t="str">
        <f t="shared" si="5"/>
        <v>GoldMetalor USA Refining Corporation</v>
      </c>
    </row>
    <row r="10" spans="1:34" s="272" customFormat="1" ht="20.100000000000001" customHeight="1">
      <c r="A10" s="214" t="s">
        <v>783</v>
      </c>
      <c r="B10" s="215" t="s">
        <v>1131</v>
      </c>
      <c r="C10" s="219" t="s">
        <v>2173</v>
      </c>
      <c r="D10" s="215"/>
      <c r="E10" s="215" t="s">
        <v>1105</v>
      </c>
      <c r="F10" s="215" t="s">
        <v>783</v>
      </c>
      <c r="G10" s="215" t="s">
        <v>13459</v>
      </c>
      <c r="H10" s="216">
        <v>0</v>
      </c>
      <c r="I10" s="217" t="s">
        <v>1780</v>
      </c>
      <c r="J10" s="217" t="s">
        <v>13066</v>
      </c>
      <c r="K10" s="268"/>
      <c r="L10" s="268"/>
      <c r="M10" s="268"/>
      <c r="N10" s="268"/>
      <c r="O10" s="268"/>
      <c r="P10" s="218"/>
      <c r="Q10" s="269"/>
      <c r="R10" s="215" t="str">
        <f ca="1">IF(ISERROR($V10),"",OFFSET('Smelter Look-up'!$C$4,$V10-4,0)&amp;"")</f>
        <v>PT Refined Bangka Tin</v>
      </c>
      <c r="S10" s="222" t="str">
        <f t="shared" ca="1" si="3"/>
        <v>ID</v>
      </c>
      <c r="T10" s="222" t="str">
        <f ca="1">IF(B10="","",IF(ISERROR(MATCH($J10,SorP!$B$1:$B$6230,0)),"",INDIRECT("'SorP'!$A$"&amp;MATCH($J10,SorP!$B$1:$B$6230,0))))</f>
        <v>ID-BB</v>
      </c>
      <c r="U10" s="238"/>
      <c r="V10" s="270">
        <f>IF(C10="",NA(),MATCH($B10&amp;$C10,'Smelter Look-up'!$J:$J,0))</f>
        <v>487</v>
      </c>
      <c r="W10" s="271"/>
      <c r="X10" s="271">
        <f t="shared" si="4"/>
        <v>0</v>
      </c>
      <c r="Y10" s="271"/>
      <c r="Z10" s="271"/>
      <c r="AB10" s="273" t="str">
        <f t="shared" si="5"/>
        <v>TinPT Refined Bangka Tin</v>
      </c>
    </row>
    <row r="11" spans="1:34" s="272" customFormat="1" ht="20.100000000000001" customHeight="1">
      <c r="A11" s="214" t="s">
        <v>780</v>
      </c>
      <c r="B11" s="215" t="s">
        <v>1131</v>
      </c>
      <c r="C11" s="219" t="s">
        <v>14029</v>
      </c>
      <c r="D11" s="215"/>
      <c r="E11" s="215" t="s">
        <v>2461</v>
      </c>
      <c r="F11" s="215" t="s">
        <v>780</v>
      </c>
      <c r="G11" s="215" t="s">
        <v>13459</v>
      </c>
      <c r="H11" s="216">
        <v>0</v>
      </c>
      <c r="I11" s="217" t="s">
        <v>1782</v>
      </c>
      <c r="J11" s="217" t="s">
        <v>1782</v>
      </c>
      <c r="K11" s="268"/>
      <c r="L11" s="268"/>
      <c r="M11" s="268"/>
      <c r="N11" s="268"/>
      <c r="O11" s="268"/>
      <c r="P11" s="218"/>
      <c r="Q11" s="269"/>
      <c r="R11" s="215" t="str">
        <f ca="1">IF(ISERROR($V11),"",OFFSET('Smelter Look-up'!$C$4,$V11-4,0)&amp;"")</f>
        <v>Operaciones Metalurgicas S.A.</v>
      </c>
      <c r="S11" s="222" t="str">
        <f t="shared" ca="1" si="3"/>
        <v>BO</v>
      </c>
      <c r="T11" s="222" t="str">
        <f ca="1">IF(B11="","",IF(ISERROR(MATCH($J11,SorP!$B$1:$B$6230,0)),"",INDIRECT("'SorP'!$A$"&amp;MATCH($J11,SorP!$B$1:$B$6230,0))))</f>
        <v>BO-O</v>
      </c>
      <c r="U11" s="238"/>
      <c r="V11" s="270">
        <f>IF(C11="",NA(),MATCH($B11&amp;$C11,'Smelter Look-up'!$J:$J,0))</f>
        <v>471</v>
      </c>
      <c r="W11" s="271"/>
      <c r="X11" s="271">
        <f t="shared" si="4"/>
        <v>0</v>
      </c>
      <c r="Y11" s="271"/>
      <c r="Z11" s="271"/>
      <c r="AB11" s="273" t="str">
        <f t="shared" si="5"/>
        <v>TinOperaciones Metalurgicas S.A.</v>
      </c>
    </row>
    <row r="12" spans="1:34" s="272" customFormat="1" ht="20.100000000000001" customHeight="1">
      <c r="A12" s="214" t="s">
        <v>1830</v>
      </c>
      <c r="B12" s="215" t="s">
        <v>1131</v>
      </c>
      <c r="C12" s="219" t="s">
        <v>13149</v>
      </c>
      <c r="D12" s="215"/>
      <c r="E12" s="215" t="s">
        <v>1095</v>
      </c>
      <c r="F12" s="215" t="s">
        <v>1830</v>
      </c>
      <c r="G12" s="215" t="s">
        <v>13459</v>
      </c>
      <c r="H12" s="216">
        <v>0</v>
      </c>
      <c r="I12" s="217" t="s">
        <v>1831</v>
      </c>
      <c r="J12" s="217" t="s">
        <v>3190</v>
      </c>
      <c r="K12" s="268"/>
      <c r="L12" s="268"/>
      <c r="M12" s="268"/>
      <c r="N12" s="268"/>
      <c r="O12" s="268"/>
      <c r="P12" s="218"/>
      <c r="Q12" s="269"/>
      <c r="R12" s="215" t="str">
        <f ca="1">IF(ISERROR($V12),"",OFFSET('Smelter Look-up'!$C$4,$V12-4,0)&amp;"")</f>
        <v>Metallo Belgium N.V.</v>
      </c>
      <c r="S12" s="222" t="str">
        <f t="shared" ca="1" si="3"/>
        <v>BE</v>
      </c>
      <c r="T12" s="222" t="str">
        <f ca="1">IF(B12="","",IF(ISERROR(MATCH($J12,SorP!$B$1:$B$6230,0)),"",INDIRECT("'SorP'!$A$"&amp;MATCH($J12,SorP!$B$1:$B$6230,0))))</f>
        <v>BE-VAN</v>
      </c>
      <c r="U12" s="238"/>
      <c r="V12" s="270">
        <f>IF(C12="",NA(),MATCH($B12&amp;$C12,'Smelter Look-up'!$J:$J,0))</f>
        <v>454</v>
      </c>
      <c r="W12" s="271"/>
      <c r="X12" s="271">
        <f t="shared" si="4"/>
        <v>0</v>
      </c>
      <c r="Y12" s="271"/>
      <c r="Z12" s="271"/>
      <c r="AB12" s="273" t="str">
        <f t="shared" si="5"/>
        <v>TinMetallo Belgium N.V.</v>
      </c>
    </row>
    <row r="13" spans="1:34" s="272" customFormat="1" ht="20.100000000000001" customHeight="1">
      <c r="A13" s="214" t="s">
        <v>776</v>
      </c>
      <c r="B13" s="215" t="s">
        <v>1131</v>
      </c>
      <c r="C13" s="219" t="s">
        <v>1034</v>
      </c>
      <c r="D13" s="215"/>
      <c r="E13" s="215" t="s">
        <v>880</v>
      </c>
      <c r="F13" s="215" t="s">
        <v>776</v>
      </c>
      <c r="G13" s="215" t="s">
        <v>13459</v>
      </c>
      <c r="H13" s="216">
        <v>0</v>
      </c>
      <c r="I13" s="217" t="s">
        <v>1799</v>
      </c>
      <c r="J13" s="217" t="s">
        <v>9323</v>
      </c>
      <c r="K13" s="268"/>
      <c r="L13" s="268"/>
      <c r="M13" s="268"/>
      <c r="N13" s="268"/>
      <c r="O13" s="268"/>
      <c r="P13" s="218"/>
      <c r="Q13" s="269"/>
      <c r="R13" s="215" t="str">
        <f ca="1">IF(ISERROR($V13),"",OFFSET('Smelter Look-up'!$C$4,$V13-4,0)&amp;"")</f>
        <v>Minsur</v>
      </c>
      <c r="S13" s="222" t="str">
        <f t="shared" ca="1" si="3"/>
        <v>PE</v>
      </c>
      <c r="T13" s="222" t="str">
        <f ca="1">IF(B13="","",IF(ISERROR(MATCH($J13,SorP!$B$1:$B$6230,0)),"",INDIRECT("'SorP'!$A$"&amp;MATCH($J13,SorP!$B$1:$B$6230,0))))</f>
        <v>PE-ICA</v>
      </c>
      <c r="U13" s="238"/>
      <c r="V13" s="270">
        <f>IF(C13="",NA(),MATCH($B13&amp;$C13,'Smelter Look-up'!$J:$J,0))</f>
        <v>460</v>
      </c>
      <c r="W13" s="271"/>
      <c r="X13" s="271">
        <f t="shared" si="4"/>
        <v>0</v>
      </c>
      <c r="Y13" s="271"/>
      <c r="Z13" s="271"/>
      <c r="AB13" s="273" t="str">
        <f t="shared" si="5"/>
        <v>TinMinsur</v>
      </c>
    </row>
    <row r="14" spans="1:34" s="272" customFormat="1" ht="20.100000000000001" customHeight="1">
      <c r="A14" s="214" t="s">
        <v>804</v>
      </c>
      <c r="B14" s="215" t="s">
        <v>1131</v>
      </c>
      <c r="C14" s="219" t="s">
        <v>14026</v>
      </c>
      <c r="D14" s="215"/>
      <c r="E14" s="215" t="s">
        <v>1105</v>
      </c>
      <c r="F14" s="215" t="s">
        <v>804</v>
      </c>
      <c r="G14" s="215" t="s">
        <v>13459</v>
      </c>
      <c r="H14" s="216">
        <v>0</v>
      </c>
      <c r="I14" s="217" t="s">
        <v>1806</v>
      </c>
      <c r="J14" s="217" t="s">
        <v>6135</v>
      </c>
      <c r="K14" s="268"/>
      <c r="L14" s="268"/>
      <c r="M14" s="268"/>
      <c r="N14" s="268"/>
      <c r="O14" s="268"/>
      <c r="P14" s="218"/>
      <c r="Q14" s="269"/>
      <c r="R14" s="215" t="str">
        <f ca="1">IF(ISERROR($V14),"",OFFSET('Smelter Look-up'!$C$4,$V14-4,0)&amp;"")</f>
        <v>PT Timah Tbk Kundur</v>
      </c>
      <c r="S14" s="222" t="str">
        <f t="shared" ca="1" si="3"/>
        <v>ID</v>
      </c>
      <c r="T14" s="222" t="str">
        <f ca="1">IF(B14="","",IF(ISERROR(MATCH($J14,SorP!$B$1:$B$6230,0)),"",INDIRECT("'SorP'!$A$"&amp;MATCH($J14,SorP!$B$1:$B$6230,0))))</f>
        <v>ID-RI</v>
      </c>
      <c r="U14" s="238"/>
      <c r="V14" s="270">
        <f>IF(C14="",NA(),MATCH($B14&amp;$C14,'Smelter Look-up'!$J:$J,0))</f>
        <v>491</v>
      </c>
      <c r="W14" s="271"/>
      <c r="X14" s="271">
        <f t="shared" si="4"/>
        <v>0</v>
      </c>
      <c r="Y14" s="271"/>
      <c r="Z14" s="271"/>
      <c r="AB14" s="273" t="str">
        <f t="shared" si="5"/>
        <v>TinPT Timah Tbk Kundur</v>
      </c>
    </row>
    <row r="15" spans="1:34" s="272" customFormat="1" ht="20.100000000000001" customHeight="1">
      <c r="A15" s="214"/>
      <c r="B15" s="215"/>
      <c r="C15" s="219"/>
      <c r="D15" s="215"/>
      <c r="E15" s="215"/>
      <c r="F15" s="215"/>
      <c r="G15" s="215"/>
      <c r="H15" s="216"/>
      <c r="I15" s="217"/>
      <c r="J15" s="217"/>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si="4"/>
        <v>0</v>
      </c>
      <c r="Y15" s="271"/>
      <c r="Z15" s="271"/>
      <c r="AB15" s="273" t="str">
        <f t="shared" si="5"/>
        <v/>
      </c>
    </row>
    <row r="16" spans="1:34" s="272" customFormat="1" ht="20.100000000000001" customHeight="1">
      <c r="A16" s="214" t="s">
        <v>782</v>
      </c>
      <c r="B16" s="215" t="s">
        <v>1131</v>
      </c>
      <c r="C16" s="219" t="s">
        <v>627</v>
      </c>
      <c r="D16" s="215"/>
      <c r="E16" s="215" t="s">
        <v>1105</v>
      </c>
      <c r="F16" s="215" t="s">
        <v>782</v>
      </c>
      <c r="G16" s="215" t="s">
        <v>13459</v>
      </c>
      <c r="H16" s="216">
        <v>0</v>
      </c>
      <c r="I16" s="217" t="s">
        <v>1780</v>
      </c>
      <c r="J16" s="217" t="s">
        <v>13066</v>
      </c>
      <c r="K16" s="268"/>
      <c r="L16" s="268"/>
      <c r="M16" s="268"/>
      <c r="N16" s="268"/>
      <c r="O16" s="268"/>
      <c r="P16" s="218"/>
      <c r="Q16" s="269"/>
      <c r="R16" s="215" t="str">
        <f ca="1">IF(ISERROR($V16),"",OFFSET('Smelter Look-up'!$C$4,$V16-4,0)&amp;"")</f>
        <v>PT Mitra Stania Prima</v>
      </c>
      <c r="S16" s="222" t="str">
        <f t="shared" ca="1" si="3"/>
        <v>ID</v>
      </c>
      <c r="T16" s="222" t="str">
        <f ca="1">IF(B16="","",IF(ISERROR(MATCH($J16,SorP!$B$1:$B$6230,0)),"",INDIRECT("'SorP'!$A$"&amp;MATCH($J16,SorP!$B$1:$B$6230,0))))</f>
        <v>ID-BB</v>
      </c>
      <c r="U16" s="238"/>
      <c r="V16" s="270">
        <f>IF(C16="",NA(),MATCH($B16&amp;$C16,'Smelter Look-up'!$J:$J,0))</f>
        <v>482</v>
      </c>
      <c r="W16" s="271"/>
      <c r="X16" s="271">
        <f t="shared" si="4"/>
        <v>0</v>
      </c>
      <c r="Y16" s="271"/>
      <c r="Z16" s="271"/>
      <c r="AB16" s="273" t="str">
        <f t="shared" si="5"/>
        <v>TinPT Mitra Stania Prima</v>
      </c>
    </row>
    <row r="17" spans="1:28" s="272" customFormat="1" ht="20.100000000000001" customHeight="1">
      <c r="A17" s="214" t="s">
        <v>769</v>
      </c>
      <c r="B17" s="215" t="s">
        <v>1131</v>
      </c>
      <c r="C17" s="219" t="s">
        <v>815</v>
      </c>
      <c r="D17" s="215"/>
      <c r="E17" s="215" t="s">
        <v>882</v>
      </c>
      <c r="F17" s="215" t="s">
        <v>769</v>
      </c>
      <c r="G17" s="215" t="s">
        <v>13459</v>
      </c>
      <c r="H17" s="216">
        <v>0</v>
      </c>
      <c r="I17" s="217" t="s">
        <v>1785</v>
      </c>
      <c r="J17" s="217" t="s">
        <v>9711</v>
      </c>
      <c r="K17" s="268"/>
      <c r="L17" s="268"/>
      <c r="M17" s="268"/>
      <c r="N17" s="268"/>
      <c r="O17" s="268"/>
      <c r="P17" s="218"/>
      <c r="Q17" s="269"/>
      <c r="R17" s="215" t="str">
        <f ca="1">IF(ISERROR($V17),"",OFFSET('Smelter Look-up'!$C$4,$V17-4,0)&amp;"")</f>
        <v>Fenix Metals</v>
      </c>
      <c r="S17" s="222" t="str">
        <f t="shared" ca="1" si="3"/>
        <v>PL</v>
      </c>
      <c r="T17" s="222" t="str">
        <f ca="1">IF(B17="","",IF(ISERROR(MATCH($J17,SorP!$B$1:$B$6230,0)),"",INDIRECT("'SorP'!$A$"&amp;MATCH($J17,SorP!$B$1:$B$6230,0))))</f>
        <v>PL-18</v>
      </c>
      <c r="U17" s="238"/>
      <c r="V17" s="270">
        <f>IF(C17="",NA(),MATCH($B17&amp;$C17,'Smelter Look-up'!$J:$J,0))</f>
        <v>421</v>
      </c>
      <c r="W17" s="271"/>
      <c r="X17" s="271">
        <f t="shared" si="4"/>
        <v>0</v>
      </c>
      <c r="Y17" s="271"/>
      <c r="Z17" s="271"/>
      <c r="AB17" s="273" t="str">
        <f t="shared" si="5"/>
        <v>TinFenix Metals</v>
      </c>
    </row>
    <row r="18" spans="1:28" s="272" customFormat="1" ht="20.100000000000001" customHeight="1">
      <c r="A18" s="214" t="s">
        <v>788</v>
      </c>
      <c r="B18" s="215" t="s">
        <v>1131</v>
      </c>
      <c r="C18" s="219" t="s">
        <v>1031</v>
      </c>
      <c r="D18" s="215"/>
      <c r="E18" s="215" t="s">
        <v>888</v>
      </c>
      <c r="F18" s="215" t="s">
        <v>788</v>
      </c>
      <c r="G18" s="215" t="s">
        <v>13459</v>
      </c>
      <c r="H18" s="216">
        <v>0</v>
      </c>
      <c r="I18" s="217" t="s">
        <v>1810</v>
      </c>
      <c r="J18" s="217" t="s">
        <v>1811</v>
      </c>
      <c r="K18" s="268"/>
      <c r="L18" s="268"/>
      <c r="M18" s="268"/>
      <c r="N18" s="268"/>
      <c r="O18" s="268"/>
      <c r="P18" s="218"/>
      <c r="Q18" s="269"/>
      <c r="R18" s="215" t="str">
        <f ca="1">IF(ISERROR($V18),"",OFFSET('Smelter Look-up'!$C$4,$V18-4,0)&amp;"")</f>
        <v>Thaisarco</v>
      </c>
      <c r="S18" s="222" t="str">
        <f t="shared" ca="1" si="3"/>
        <v>TH</v>
      </c>
      <c r="T18" s="222" t="str">
        <f ca="1">IF(B18="","",IF(ISERROR(MATCH($J18,SorP!$B$1:$B$6230,0)),"",INDIRECT("'SorP'!$A$"&amp;MATCH($J18,SorP!$B$1:$B$6230,0))))</f>
        <v>TH-83</v>
      </c>
      <c r="U18" s="238"/>
      <c r="V18" s="270">
        <f>IF(C18="",NA(),MATCH($B18&amp;$C18,'Smelter Look-up'!$J:$J,0))</f>
        <v>504</v>
      </c>
      <c r="W18" s="271"/>
      <c r="X18" s="271">
        <f t="shared" si="4"/>
        <v>0</v>
      </c>
      <c r="Y18" s="271"/>
      <c r="Z18" s="271"/>
      <c r="AB18" s="273" t="str">
        <f t="shared" si="5"/>
        <v>TinThaisarco</v>
      </c>
    </row>
    <row r="19" spans="1:28" s="272" customFormat="1" ht="20.25">
      <c r="A19" s="215"/>
      <c r="B19" s="215"/>
      <c r="C19" s="219"/>
      <c r="D19" s="278"/>
      <c r="E19" s="215"/>
      <c r="F19" s="215"/>
      <c r="G19" s="215"/>
      <c r="H19" s="216"/>
      <c r="I19" s="217"/>
      <c r="J19" s="217"/>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si="4"/>
        <v>0</v>
      </c>
      <c r="Y19" s="271"/>
      <c r="Z19" s="271"/>
      <c r="AB19" s="273" t="str">
        <f t="shared" si="5"/>
        <v/>
      </c>
    </row>
    <row r="20" spans="1:28" s="272" customFormat="1" ht="51">
      <c r="A20" s="215" t="s">
        <v>13403</v>
      </c>
      <c r="B20" s="215" t="s">
        <v>1131</v>
      </c>
      <c r="C20" s="219" t="s">
        <v>13402</v>
      </c>
      <c r="D20" s="278"/>
      <c r="E20" s="215" t="s">
        <v>2463</v>
      </c>
      <c r="F20" s="215" t="s">
        <v>13403</v>
      </c>
      <c r="G20" s="215" t="s">
        <v>13459</v>
      </c>
      <c r="H20" s="216">
        <v>0</v>
      </c>
      <c r="I20" s="217" t="s">
        <v>13404</v>
      </c>
      <c r="J20" s="217" t="s">
        <v>1749</v>
      </c>
      <c r="K20" s="268"/>
      <c r="L20" s="268"/>
      <c r="M20" s="268"/>
      <c r="N20" s="268"/>
      <c r="O20" s="268"/>
      <c r="P20" s="218"/>
      <c r="Q20" s="269"/>
      <c r="R20" s="215" t="str">
        <f ca="1">IF(ISERROR($V20),"",OFFSET('Smelter Look-up'!$C$4,$V20-4,0)&amp;"")</f>
        <v>Tin Technology &amp; Refining</v>
      </c>
      <c r="S20" s="222" t="str">
        <f t="shared" ca="1" si="3"/>
        <v>US</v>
      </c>
      <c r="T20" s="222" t="str">
        <f ca="1">IF(B20="","",IF(ISERROR(MATCH($J20,SorP!$B$1:$B$6230,0)),"",INDIRECT("'SorP'!$A$"&amp;MATCH($J20,SorP!$B$1:$B$6230,0))))</f>
        <v>US-PA</v>
      </c>
      <c r="U20" s="238"/>
      <c r="V20" s="270">
        <f>IF(C20="",NA(),MATCH($B20&amp;$C20,'Smelter Look-up'!$J:$J,0))</f>
        <v>507</v>
      </c>
      <c r="W20" s="271"/>
      <c r="X20" s="271">
        <f t="shared" si="4"/>
        <v>0</v>
      </c>
      <c r="Y20" s="271"/>
      <c r="Z20" s="271"/>
      <c r="AB20" s="273" t="str">
        <f t="shared" si="5"/>
        <v>TinTin Technology &amp; Refining</v>
      </c>
    </row>
    <row r="21" spans="1:28" s="272" customFormat="1" ht="20.25">
      <c r="A21" s="215"/>
      <c r="B21" s="215"/>
      <c r="C21" s="219"/>
      <c r="D21" s="278"/>
      <c r="E21" s="215"/>
      <c r="F21" s="215"/>
      <c r="G21" s="215"/>
      <c r="H21" s="216"/>
      <c r="I21" s="217"/>
      <c r="J21" s="217"/>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si="4"/>
        <v>0</v>
      </c>
      <c r="Y21" s="271"/>
      <c r="Z21" s="271"/>
      <c r="AB21" s="273" t="str">
        <f t="shared" si="5"/>
        <v/>
      </c>
    </row>
    <row r="22" spans="1:28" s="272" customFormat="1" ht="63.75">
      <c r="A22" s="353" t="s">
        <v>773</v>
      </c>
      <c r="B22" s="353" t="s">
        <v>1131</v>
      </c>
      <c r="C22" s="354" t="s">
        <v>1327</v>
      </c>
      <c r="D22" s="355"/>
      <c r="E22" s="353" t="s">
        <v>1100</v>
      </c>
      <c r="F22" s="353" t="s">
        <v>773</v>
      </c>
      <c r="G22" s="353" t="s">
        <v>13459</v>
      </c>
      <c r="H22" s="356">
        <v>0</v>
      </c>
      <c r="I22" s="357" t="s">
        <v>1789</v>
      </c>
      <c r="J22" s="357" t="s">
        <v>13826</v>
      </c>
      <c r="K22" s="268"/>
      <c r="L22" s="268"/>
      <c r="M22" s="268"/>
      <c r="N22" s="268"/>
      <c r="O22" s="268"/>
      <c r="P22" s="218"/>
      <c r="Q22" s="269"/>
      <c r="R22" s="215" t="str">
        <f ca="1">IF(ISERROR($V22),"",OFFSET('Smelter Look-up'!$C$4,$V22-4,0)&amp;"")</f>
        <v>China Tin Group Co., Ltd.</v>
      </c>
      <c r="S22" s="222" t="str">
        <f t="shared" ca="1" si="3"/>
        <v>CN</v>
      </c>
      <c r="T22" s="222" t="str">
        <f ca="1">IF(B22="","",IF(ISERROR(MATCH($J22,SorP!$B$1:$B$6230,0)),"",INDIRECT("'SorP'!$A$"&amp;MATCH($J22,SorP!$B$1:$B$6230,0))))</f>
        <v>CN-GX</v>
      </c>
      <c r="U22" s="238"/>
      <c r="V22" s="270">
        <f>IF(C22="",NA(),MATCH($B22&amp;$C22,'Smelter Look-up'!$J:$J,0))</f>
        <v>395</v>
      </c>
      <c r="W22" s="271"/>
      <c r="X22" s="271">
        <f t="shared" si="4"/>
        <v>0</v>
      </c>
      <c r="Y22" s="271"/>
      <c r="Z22" s="271"/>
      <c r="AB22" s="273" t="str">
        <f t="shared" si="5"/>
        <v>TinChina Tin Group Co., Ltd.</v>
      </c>
    </row>
    <row r="23" spans="1:28" s="272" customFormat="1" ht="76.5">
      <c r="A23" s="353" t="s">
        <v>734</v>
      </c>
      <c r="B23" s="353" t="s">
        <v>1130</v>
      </c>
      <c r="C23" s="354" t="s">
        <v>22</v>
      </c>
      <c r="D23" s="355"/>
      <c r="E23" s="353" t="s">
        <v>1100</v>
      </c>
      <c r="F23" s="353" t="s">
        <v>734</v>
      </c>
      <c r="G23" s="353" t="s">
        <v>13459</v>
      </c>
      <c r="H23" s="356">
        <v>0</v>
      </c>
      <c r="I23" s="357" t="s">
        <v>1663</v>
      </c>
      <c r="J23" s="357" t="s">
        <v>13843</v>
      </c>
      <c r="K23" s="268"/>
      <c r="L23" s="268"/>
      <c r="M23" s="268"/>
      <c r="N23" s="268"/>
      <c r="O23" s="268"/>
      <c r="P23" s="218"/>
      <c r="Q23" s="269"/>
      <c r="R23" s="215" t="str">
        <f ca="1">IF(ISERROR($V23),"",OFFSET('Smelter Look-up'!$C$4,$V23-4,0)&amp;"")</f>
        <v>Shandong Gold Smelting Co., Ltd.</v>
      </c>
      <c r="S23" s="222" t="str">
        <f t="shared" ca="1" si="3"/>
        <v>CN</v>
      </c>
      <c r="T23" s="222" t="str">
        <f ca="1">IF(B23="","",IF(ISERROR(MATCH($J23,SorP!$B$1:$B$6230,0)),"",INDIRECT("'SorP'!$A$"&amp;MATCH($J23,SorP!$B$1:$B$6230,0))))</f>
        <v>CN-SD</v>
      </c>
      <c r="U23" s="238"/>
      <c r="V23" s="270">
        <f>IF(C23="",NA(),MATCH($B23&amp;$C23,'Smelter Look-up'!$J:$J,0))</f>
        <v>54</v>
      </c>
      <c r="W23" s="271"/>
      <c r="X23" s="271">
        <f t="shared" si="4"/>
        <v>0</v>
      </c>
      <c r="Y23" s="271"/>
      <c r="Z23" s="271"/>
      <c r="AB23" s="273" t="str">
        <f t="shared" si="5"/>
        <v>GoldChina's Shandong Gold Mining Co., Ltd</v>
      </c>
    </row>
    <row r="24" spans="1:28" s="272" customFormat="1" ht="76.5">
      <c r="A24" s="214" t="s">
        <v>738</v>
      </c>
      <c r="B24" s="215" t="s">
        <v>1130</v>
      </c>
      <c r="C24" s="219" t="s">
        <v>2555</v>
      </c>
      <c r="D24" s="358" t="s">
        <v>2358</v>
      </c>
      <c r="E24" s="215" t="s">
        <v>1095</v>
      </c>
      <c r="F24" s="215" t="s">
        <v>738</v>
      </c>
      <c r="G24" s="215" t="s">
        <v>13459</v>
      </c>
      <c r="H24" s="359" t="s">
        <v>15617</v>
      </c>
      <c r="I24" s="217" t="s">
        <v>1684</v>
      </c>
      <c r="J24" s="217" t="s">
        <v>3190</v>
      </c>
      <c r="K24" s="268"/>
      <c r="L24" s="268"/>
      <c r="M24" s="268"/>
      <c r="N24" s="268"/>
      <c r="O24" s="268"/>
      <c r="P24" s="218"/>
      <c r="Q24" s="269"/>
      <c r="R24" s="215" t="str">
        <f ca="1">IF(ISERROR($V24),"",OFFSET('Smelter Look-up'!$C$4,$V24-4,0)&amp;"")</f>
        <v>Umicore S.A. Business Unit Precious Metals Refining</v>
      </c>
      <c r="S24" s="222" t="str">
        <f t="shared" ca="1" si="3"/>
        <v>BE</v>
      </c>
      <c r="T24" s="222" t="str">
        <f ca="1">IF(B24="","",IF(ISERROR(MATCH($J24,SorP!$B$1:$B$6230,0)),"",INDIRECT("'SorP'!$A$"&amp;MATCH($J24,SorP!$B$1:$B$6230,0))))</f>
        <v>BE-VAN</v>
      </c>
      <c r="U24" s="238"/>
      <c r="V24" s="270">
        <f>IF(C24="",NA(),MATCH($B24&amp;$C24,'Smelter Look-up'!$J:$J,0))</f>
        <v>284</v>
      </c>
      <c r="W24" s="271"/>
      <c r="X24" s="271">
        <f t="shared" si="4"/>
        <v>0</v>
      </c>
      <c r="Y24" s="271"/>
      <c r="Z24" s="271"/>
      <c r="AB24" s="273" t="str">
        <f t="shared" si="5"/>
        <v>GoldUmicore Precious Metals Refining Hoboken</v>
      </c>
    </row>
    <row r="25" spans="1:28" s="272" customFormat="1" ht="51">
      <c r="A25" s="215" t="s">
        <v>784</v>
      </c>
      <c r="B25" s="215" t="s">
        <v>1131</v>
      </c>
      <c r="C25" s="219" t="s">
        <v>14025</v>
      </c>
      <c r="D25" s="278"/>
      <c r="E25" s="215" t="s">
        <v>1105</v>
      </c>
      <c r="F25" s="215" t="s">
        <v>784</v>
      </c>
      <c r="G25" s="215" t="s">
        <v>13459</v>
      </c>
      <c r="H25" s="216">
        <v>0</v>
      </c>
      <c r="I25" s="217" t="s">
        <v>1808</v>
      </c>
      <c r="J25" s="217" t="s">
        <v>13066</v>
      </c>
      <c r="K25" s="268"/>
      <c r="L25" s="268"/>
      <c r="M25" s="268"/>
      <c r="N25" s="268"/>
      <c r="O25" s="268"/>
      <c r="P25" s="218"/>
      <c r="Q25" s="269"/>
      <c r="R25" s="215" t="str">
        <f ca="1">IF(ISERROR($V25),"",OFFSET('Smelter Look-up'!$C$4,$V25-4,0)&amp;"")</f>
        <v>PT Timah Tbk Mentok</v>
      </c>
      <c r="S25" s="222" t="str">
        <f t="shared" ca="1" si="3"/>
        <v>ID</v>
      </c>
      <c r="T25" s="222" t="str">
        <f ca="1">IF(B25="","",IF(ISERROR(MATCH($J25,SorP!$B$1:$B$6230,0)),"",INDIRECT("'SorP'!$A$"&amp;MATCH($J25,SorP!$B$1:$B$6230,0))))</f>
        <v>ID-BB</v>
      </c>
      <c r="U25" s="238"/>
      <c r="V25" s="270">
        <f>IF(C25="",NA(),MATCH($B25&amp;$C25,'Smelter Look-up'!$J:$J,0))</f>
        <v>492</v>
      </c>
      <c r="W25" s="271"/>
      <c r="X25" s="271">
        <f t="shared" si="4"/>
        <v>0</v>
      </c>
      <c r="Y25" s="271"/>
      <c r="Z25" s="271"/>
      <c r="AB25" s="273" t="str">
        <f t="shared" si="5"/>
        <v>TinPT Timah Tbk Mentok</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98"/>
  <conditionalFormatting sqref="B586:B2504">
    <cfRule type="expression" dxfId="71" priority="62" stopIfTrue="1">
      <formula>IF(B586="",TRUE)</formula>
    </cfRule>
    <cfRule type="expression" dxfId="70" priority="73" stopIfTrue="1">
      <formula>IF(AND(COUNTIF(MetalSmelter,B586&amp;C586)=0,LEN(C586)&gt;0),TRUE,FALSE)</formula>
    </cfRule>
  </conditionalFormatting>
  <conditionalFormatting sqref="D586:D2504">
    <cfRule type="expression" dxfId="69" priority="56" stopIfTrue="1">
      <formula>IF(AND(LEN($C586)&gt;0,($C586&lt;&gt;"Smelter Not Listed")),1,0)</formula>
    </cfRule>
    <cfRule type="expression" dxfId="68" priority="81" stopIfTrue="1">
      <formula>IF(AND(D586="",$C586=$X$4),TRUE)</formula>
    </cfRule>
    <cfRule type="expression" dxfId="67" priority="82" stopIfTrue="1">
      <formula>IF(FIND("!",D586),TRUE)</formula>
    </cfRule>
  </conditionalFormatting>
  <conditionalFormatting sqref="G586:G2504">
    <cfRule type="expression" dxfId="66" priority="83" stopIfTrue="1">
      <formula>IF(FIND("Enter smelter details",G586),TRUE)</formula>
    </cfRule>
  </conditionalFormatting>
  <conditionalFormatting sqref="R586:R2505 E586:E2504">
    <cfRule type="expression" dxfId="65" priority="69" stopIfTrue="1">
      <formula>IF(AND(E586="",$C586=$X$4),TRUE)</formula>
    </cfRule>
    <cfRule type="expression" dxfId="64" priority="70" stopIfTrue="1">
      <formula>IF(FIND("!",E586),TRUE)</formula>
    </cfRule>
  </conditionalFormatting>
  <conditionalFormatting sqref="F586:F2504">
    <cfRule type="expression" dxfId="63" priority="60" stopIfTrue="1">
      <formula>IF(AND(LEN($A586)&gt;0,$A586&lt;&gt;$F586),TRUE,FALSE)</formula>
    </cfRule>
  </conditionalFormatting>
  <conditionalFormatting sqref="C586:C2504">
    <cfRule type="expression" dxfId="62" priority="59" stopIfTrue="1">
      <formula>IF(AND(B586&lt;&gt;"",C586=""),TRUE)</formula>
    </cfRule>
  </conditionalFormatting>
  <conditionalFormatting sqref="B26:B585">
    <cfRule type="expression" dxfId="61" priority="38" stopIfTrue="1">
      <formula>IF(B26="",TRUE)</formula>
    </cfRule>
    <cfRule type="expression" dxfId="60" priority="41" stopIfTrue="1">
      <formula>IF(AND(COUNTIF(MetalSmelter,B26&amp;C26)=0,LEN(C26)&gt;0),TRUE,FALSE)</formula>
    </cfRule>
  </conditionalFormatting>
  <conditionalFormatting sqref="D26:D585">
    <cfRule type="expression" dxfId="59" priority="35" stopIfTrue="1">
      <formula>IF(AND(LEN($C26)&gt;0,($C26&lt;&gt;"Smelter Not Listed")),1,0)</formula>
    </cfRule>
    <cfRule type="expression" dxfId="58" priority="42" stopIfTrue="1">
      <formula>IF(AND(D26="",$C26=$X$4),TRUE)</formula>
    </cfRule>
    <cfRule type="expression" dxfId="57" priority="43" stopIfTrue="1">
      <formula>IF(FIND("!",D26),TRUE)</formula>
    </cfRule>
  </conditionalFormatting>
  <conditionalFormatting sqref="G26:G585">
    <cfRule type="expression" dxfId="56" priority="44" stopIfTrue="1">
      <formula>IF(FIND("Enter smelter details",G26),TRUE)</formula>
    </cfRule>
  </conditionalFormatting>
  <conditionalFormatting sqref="R5:R585 E26:E585">
    <cfRule type="expression" dxfId="55" priority="39" stopIfTrue="1">
      <formula>IF(AND(E5="",$C5=$X$4),TRUE)</formula>
    </cfRule>
    <cfRule type="expression" dxfId="54" priority="40" stopIfTrue="1">
      <formula>IF(FIND("!",E5),TRUE)</formula>
    </cfRule>
  </conditionalFormatting>
  <conditionalFormatting sqref="F26:F585">
    <cfRule type="expression" dxfId="53" priority="37" stopIfTrue="1">
      <formula>IF(AND(LEN($A26)&gt;0,$A26&lt;&gt;$F26),TRUE,FALSE)</formula>
    </cfRule>
  </conditionalFormatting>
  <conditionalFormatting sqref="C26:C585">
    <cfRule type="expression" dxfId="52" priority="36" stopIfTrue="1">
      <formula>IF(AND(B26&lt;&gt;"",C26=""),TRUE)</formula>
    </cfRule>
  </conditionalFormatting>
  <conditionalFormatting sqref="B22:B25">
    <cfRule type="expression" dxfId="51" priority="18" stopIfTrue="1">
      <formula>IF(B22="",TRUE)</formula>
    </cfRule>
    <cfRule type="expression" dxfId="50" priority="21" stopIfTrue="1">
      <formula>IF(AND(COUNTIF(MetalSmelter,B22&amp;C22)=0,LEN(C22)&gt;0),TRUE,FALSE)</formula>
    </cfRule>
  </conditionalFormatting>
  <conditionalFormatting sqref="D22:D25">
    <cfRule type="expression" dxfId="49" priority="15" stopIfTrue="1">
      <formula>IF(AND(LEN($C22)&gt;0,($C22&lt;&gt;"Smelter Not Listed")),1,0)</formula>
    </cfRule>
    <cfRule type="expression" dxfId="48" priority="22" stopIfTrue="1">
      <formula>IF(AND(D22="",$C22=$X$4),TRUE)</formula>
    </cfRule>
    <cfRule type="expression" dxfId="47" priority="23" stopIfTrue="1">
      <formula>IF(FIND("!",D22),TRUE)</formula>
    </cfRule>
  </conditionalFormatting>
  <conditionalFormatting sqref="G10:G18 G22:G25">
    <cfRule type="expression" dxfId="46" priority="24" stopIfTrue="1">
      <formula>IF(FIND("Enter smelter details",G10),TRUE)</formula>
    </cfRule>
  </conditionalFormatting>
  <conditionalFormatting sqref="E22:E25">
    <cfRule type="expression" dxfId="45" priority="19" stopIfTrue="1">
      <formula>IF(AND(E22="",$C22=$X$4),TRUE)</formula>
    </cfRule>
    <cfRule type="expression" dxfId="44" priority="20" stopIfTrue="1">
      <formula>IF(FIND("!",E22),TRUE)</formula>
    </cfRule>
  </conditionalFormatting>
  <conditionalFormatting sqref="F5:F18 A22:A23 F22:F25">
    <cfRule type="expression" dxfId="43" priority="17" stopIfTrue="1">
      <formula>IF(AND(LEN($A5)&gt;0,$A5&lt;&gt;$F5),TRUE,FALSE)</formula>
    </cfRule>
  </conditionalFormatting>
  <conditionalFormatting sqref="C10:C18 C22:C25">
    <cfRule type="expression" dxfId="42" priority="16" stopIfTrue="1">
      <formula>IF(AND(B10&lt;&gt;"",C10=""),TRUE)</formula>
    </cfRule>
  </conditionalFormatting>
  <conditionalFormatting sqref="G5">
    <cfRule type="expression" dxfId="41" priority="5" stopIfTrue="1">
      <formula>IF(FIND("Enter smelter details",G5),TRUE)</formula>
    </cfRule>
  </conditionalFormatting>
  <conditionalFormatting sqref="C5">
    <cfRule type="expression" dxfId="40" priority="2" stopIfTrue="1">
      <formula>IF(AND(B5&lt;&gt;"",C5=""),TRUE)</formula>
    </cfRule>
  </conditionalFormatting>
  <conditionalFormatting sqref="B6:B18">
    <cfRule type="expression" dxfId="39" priority="8" stopIfTrue="1">
      <formula>IF(B6="",TRUE)</formula>
    </cfRule>
    <cfRule type="expression" dxfId="38" priority="11" stopIfTrue="1">
      <formula>IF(AND(COUNTIF(MetalSmelter,B6&amp;C6)=0,LEN(C6)&gt;0), TRUE, FALSE)</formula>
    </cfRule>
  </conditionalFormatting>
  <conditionalFormatting sqref="D5:D18">
    <cfRule type="expression" dxfId="37" priority="6" stopIfTrue="1">
      <formula>IF(AND(LEN($C5) &gt;0, ($C5 &lt;&gt; "Smelter Not Listed")),1,0)</formula>
    </cfRule>
    <cfRule type="expression" dxfId="36" priority="12" stopIfTrue="1">
      <formula>IF(AND(D5="",$C5=$X$4),TRUE)</formula>
    </cfRule>
    <cfRule type="expression" dxfId="35" priority="13" stopIfTrue="1">
      <formula>IF(FIND("!",D5),TRUE)</formula>
    </cfRule>
  </conditionalFormatting>
  <conditionalFormatting sqref="G6:G9">
    <cfRule type="expression" dxfId="34" priority="14" stopIfTrue="1">
      <formula>IF(FIND("Enter smelter details",G6),TRUE)</formula>
    </cfRule>
  </conditionalFormatting>
  <conditionalFormatting sqref="E5:E18">
    <cfRule type="expression" dxfId="33" priority="9" stopIfTrue="1">
      <formula>IF(AND(E5="",$C5=$X$4),TRUE)</formula>
    </cfRule>
    <cfRule type="expression" dxfId="32" priority="10" stopIfTrue="1">
      <formula>IF(FIND("!",E5),TRUE)</formula>
    </cfRule>
  </conditionalFormatting>
  <conditionalFormatting sqref="C6:C9">
    <cfRule type="expression" dxfId="31" priority="7" stopIfTrue="1">
      <formula>IF(AND(B6&lt;&gt;"",C6=""),TRUE)</formula>
    </cfRule>
  </conditionalFormatting>
  <conditionalFormatting sqref="B5">
    <cfRule type="expression" dxfId="30" priority="3" stopIfTrue="1">
      <formula>IF(B5="",TRUE)</formula>
    </cfRule>
    <cfRule type="expression" dxfId="29" priority="4" stopIfTrue="1">
      <formula>IF(AND(COUNTIF(MetalSmelter,B5&amp;C5)=0,LEN(C5)&gt;0), TRUE, FALSE)</formula>
    </cfRule>
  </conditionalFormatting>
  <conditionalFormatting sqref="A25">
    <cfRule type="expression" dxfId="28" priority="1" stopIfTrue="1">
      <formula>IF(AND(LEN($A25)&gt;0,$A25&lt;&gt;$F25),TRUE,FALSE)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9" t="str">
        <f ca="1">OFFSET(L!$C$1,MATCH("Checker"&amp;ADDRESS(ROW(),COLUMN(),4),L!$A:$A,0)-1,SL,,)</f>
        <v>To ensure all required fields have been populated before submitting to your customers review form for any line items highlighted in red</v>
      </c>
      <c r="B1" s="459"/>
      <c r="C1" s="459"/>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PRECI-DIP SA</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Mrs Laura Bartek</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l.bartek@precidip.com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+41 32 421 71 03</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Mme Nadine Gérard</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n.gerard@precidip.com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44355</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0">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0">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0">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0">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http://www.precidip.com/Htdocs/Files/v/5854.pdf</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 and the EU</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8"/>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61" t="str">
        <f ca="1">OFFSET(L!$C$1,MATCH("Product List"&amp;ADDRESS(ROW(),COLUMN(),4),L!$A:$A,0)-1,SL,,)</f>
        <v>Completion required only if reporting level "Product (or List of Products)" selected on the 'Declaration' worksheet.</v>
      </c>
      <c r="B1" s="462"/>
      <c r="C1" s="462"/>
      <c r="D1" s="462"/>
      <c r="E1" s="145"/>
    </row>
    <row r="2" spans="1:6">
      <c r="A2" s="29"/>
      <c r="B2" s="147"/>
      <c r="C2" s="147"/>
      <c r="D2"/>
      <c r="E2" s="30"/>
    </row>
    <row r="3" spans="1:6">
      <c r="A3" s="29"/>
      <c r="B3" s="147"/>
      <c r="C3" s="147"/>
      <c r="D3" s="147"/>
      <c r="E3" s="30"/>
    </row>
    <row r="4" spans="1:6" ht="15.75" customHeight="1">
      <c r="A4" s="29"/>
      <c r="B4" s="460" t="s">
        <v>898</v>
      </c>
      <c r="C4" s="460"/>
      <c r="D4" s="460"/>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63" t="str">
        <f ca="1">OFFSET(L!$C$1,MATCH("General"&amp;"Cpy",L!$A:$A,0)-1,SL,,)</f>
        <v>© 2021 Responsible Minerals Initiative. All rights reserved.</v>
      </c>
      <c r="C1001" s="463"/>
      <c r="D1001" s="463"/>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98"/>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432" activePane="bottomLeft" state="frozen"/>
      <selection activeCell="A4" sqref="A4"/>
      <selection pane="bottomLeft" activeCell="C169" sqref="C169"/>
    </sheetView>
  </sheetViews>
  <sheetFormatPr baseColWidth="10"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6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4"/>
      <c r="C1" s="464"/>
      <c r="D1" s="464"/>
      <c r="E1" s="464"/>
      <c r="F1" s="464"/>
      <c r="G1" s="464"/>
    </row>
    <row r="2" spans="1:16">
      <c r="A2" s="465"/>
      <c r="B2" s="465"/>
      <c r="C2" s="465"/>
      <c r="D2" s="465"/>
      <c r="E2" s="465"/>
      <c r="F2" s="465"/>
      <c r="G2" s="465"/>
      <c r="H2" s="465"/>
      <c r="I2" s="465"/>
    </row>
    <row r="3" spans="1:16">
      <c r="A3" s="465"/>
      <c r="B3" s="465"/>
      <c r="C3" s="465"/>
      <c r="D3" s="465"/>
      <c r="E3" s="465"/>
      <c r="F3" s="465"/>
      <c r="G3" s="465"/>
      <c r="H3" s="465"/>
      <c r="I3" s="465"/>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8"/>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baseColWidth="10"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45">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30">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57">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16.75">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05">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85.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5.5">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57">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56.75">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78.5">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28.25">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56.25">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70.75">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30">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ht="28.5">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8.5">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28.5">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85.5">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8"/>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dcmitype/"/>
    <ds:schemaRef ds:uri="060324a1-f66f-4c36-a8ec-beadbf2f4219"/>
    <ds:schemaRef ds:uri="http://schemas.microsoft.com/office/2006/documentManagement/types"/>
    <ds:schemaRef ds:uri="http://schemas.microsoft.com/office/2006/metadata/properties"/>
    <ds:schemaRef ds:uri="http://purl.org/dc/terms/"/>
    <ds:schemaRef ds:uri="http://www.w3.org/XML/1998/namespace"/>
    <ds:schemaRef ds:uri="http://schemas.microsoft.com/office/infopath/2007/PartnerControls"/>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Bartek Laura</cp:lastModifiedBy>
  <cp:lastPrinted>2015-04-21T20:47:43Z</cp:lastPrinted>
  <dcterms:created xsi:type="dcterms:W3CDTF">2010-06-21T21:00:23Z</dcterms:created>
  <dcterms:modified xsi:type="dcterms:W3CDTF">2022-02-24T07:47:05Z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